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mhna1b\FileServer\Home\koltonh\Documents\"/>
    </mc:Choice>
  </mc:AlternateContent>
  <xr:revisionPtr revIDLastSave="0" documentId="8_{65E1C117-04B2-4E74-9BEE-BD219B3F3EDE}" xr6:coauthVersionLast="40" xr6:coauthVersionMax="40" xr10:uidLastSave="{00000000-0000-0000-0000-000000000000}"/>
  <bookViews>
    <workbookView xWindow="480" yWindow="60" windowWidth="27795" windowHeight="12840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" l="1"/>
  <c r="O2" i="1"/>
  <c r="L3" i="1"/>
  <c r="O3" i="1"/>
  <c r="L4" i="1"/>
  <c r="O4" i="1"/>
  <c r="L5" i="1"/>
  <c r="O5" i="1"/>
  <c r="L6" i="1"/>
  <c r="O6" i="1"/>
  <c r="L7" i="1"/>
  <c r="O7" i="1"/>
  <c r="L8" i="1"/>
  <c r="O8" i="1"/>
  <c r="L9" i="1"/>
  <c r="O9" i="1"/>
  <c r="L10" i="1"/>
  <c r="O10" i="1"/>
  <c r="L11" i="1"/>
  <c r="O11" i="1"/>
  <c r="L12" i="1"/>
  <c r="O12" i="1"/>
  <c r="L13" i="1"/>
  <c r="O13" i="1"/>
  <c r="L14" i="1"/>
  <c r="O14" i="1"/>
  <c r="L15" i="1"/>
  <c r="O15" i="1"/>
  <c r="L16" i="1"/>
  <c r="O16" i="1"/>
  <c r="L17" i="1"/>
  <c r="O17" i="1"/>
  <c r="L18" i="1"/>
  <c r="O18" i="1"/>
  <c r="L19" i="1"/>
  <c r="O19" i="1"/>
  <c r="L20" i="1"/>
  <c r="O20" i="1"/>
  <c r="L21" i="1"/>
  <c r="O21" i="1"/>
  <c r="L22" i="1"/>
  <c r="O22" i="1"/>
  <c r="L23" i="1"/>
  <c r="O23" i="1"/>
  <c r="L24" i="1"/>
  <c r="O24" i="1"/>
  <c r="L25" i="1"/>
  <c r="O25" i="1"/>
  <c r="L26" i="1"/>
  <c r="O26" i="1"/>
  <c r="L27" i="1"/>
  <c r="O27" i="1"/>
  <c r="L28" i="1"/>
  <c r="O28" i="1"/>
  <c r="L29" i="1"/>
  <c r="O29" i="1"/>
  <c r="L30" i="1"/>
  <c r="O30" i="1"/>
  <c r="L31" i="1"/>
  <c r="O31" i="1"/>
  <c r="L32" i="1"/>
  <c r="O32" i="1"/>
  <c r="L33" i="1"/>
  <c r="O33" i="1"/>
  <c r="L34" i="1"/>
  <c r="O34" i="1"/>
  <c r="L35" i="1"/>
  <c r="O35" i="1"/>
  <c r="L36" i="1"/>
  <c r="O36" i="1"/>
  <c r="L37" i="1"/>
  <c r="O37" i="1"/>
  <c r="L38" i="1"/>
  <c r="O38" i="1"/>
  <c r="L39" i="1"/>
  <c r="O39" i="1"/>
  <c r="L40" i="1"/>
  <c r="O40" i="1"/>
  <c r="L41" i="1"/>
  <c r="O41" i="1"/>
  <c r="L42" i="1"/>
  <c r="O42" i="1"/>
  <c r="L43" i="1"/>
  <c r="O43" i="1"/>
  <c r="L44" i="1"/>
  <c r="O44" i="1"/>
  <c r="L45" i="1"/>
  <c r="O45" i="1"/>
  <c r="L46" i="1"/>
  <c r="O46" i="1"/>
  <c r="L47" i="1"/>
  <c r="O47" i="1"/>
  <c r="L48" i="1"/>
  <c r="O48" i="1"/>
  <c r="L49" i="1"/>
  <c r="O49" i="1"/>
  <c r="L50" i="1"/>
  <c r="O50" i="1"/>
  <c r="L51" i="1"/>
  <c r="O51" i="1"/>
  <c r="L52" i="1"/>
  <c r="O52" i="1"/>
  <c r="L53" i="1"/>
  <c r="O53" i="1"/>
  <c r="L54" i="1"/>
  <c r="O54" i="1"/>
  <c r="L55" i="1"/>
  <c r="O55" i="1"/>
  <c r="L56" i="1"/>
  <c r="O56" i="1"/>
  <c r="L57" i="1"/>
  <c r="O57" i="1"/>
  <c r="L58" i="1"/>
  <c r="O58" i="1"/>
  <c r="L59" i="1"/>
  <c r="O59" i="1"/>
  <c r="L60" i="1"/>
  <c r="O60" i="1"/>
  <c r="L61" i="1"/>
  <c r="O61" i="1"/>
  <c r="L62" i="1"/>
  <c r="O62" i="1"/>
  <c r="L63" i="1"/>
  <c r="O63" i="1"/>
  <c r="L64" i="1"/>
  <c r="O64" i="1"/>
  <c r="L65" i="1"/>
  <c r="O65" i="1"/>
  <c r="L66" i="1"/>
  <c r="O66" i="1"/>
  <c r="L67" i="1"/>
  <c r="O67" i="1"/>
  <c r="L68" i="1"/>
  <c r="O68" i="1"/>
  <c r="L69" i="1"/>
  <c r="O69" i="1"/>
  <c r="L70" i="1"/>
  <c r="O70" i="1"/>
  <c r="L71" i="1"/>
  <c r="O71" i="1"/>
  <c r="L72" i="1"/>
  <c r="O72" i="1"/>
  <c r="L73" i="1"/>
  <c r="O73" i="1"/>
  <c r="L74" i="1"/>
  <c r="O74" i="1"/>
  <c r="L75" i="1"/>
  <c r="O75" i="1"/>
  <c r="L76" i="1"/>
  <c r="O76" i="1"/>
  <c r="L77" i="1"/>
  <c r="O77" i="1"/>
  <c r="L78" i="1"/>
  <c r="O78" i="1"/>
  <c r="L79" i="1"/>
  <c r="O79" i="1"/>
  <c r="L80" i="1"/>
  <c r="O80" i="1"/>
  <c r="L81" i="1"/>
  <c r="O81" i="1"/>
  <c r="L82" i="1"/>
  <c r="O82" i="1"/>
  <c r="L83" i="1"/>
  <c r="O83" i="1"/>
  <c r="L84" i="1"/>
  <c r="O84" i="1"/>
  <c r="L85" i="1"/>
  <c r="O85" i="1"/>
  <c r="L86" i="1"/>
  <c r="O86" i="1"/>
  <c r="L87" i="1"/>
  <c r="O87" i="1"/>
  <c r="L88" i="1"/>
  <c r="O88" i="1"/>
  <c r="L89" i="1"/>
  <c r="O89" i="1"/>
  <c r="L90" i="1"/>
  <c r="O90" i="1"/>
  <c r="L91" i="1"/>
  <c r="O91" i="1"/>
  <c r="L92" i="1"/>
  <c r="O92" i="1"/>
  <c r="L93" i="1"/>
  <c r="O93" i="1"/>
  <c r="L94" i="1"/>
  <c r="O94" i="1"/>
  <c r="L95" i="1"/>
  <c r="O95" i="1"/>
  <c r="L96" i="1"/>
  <c r="O96" i="1"/>
  <c r="L97" i="1"/>
  <c r="O97" i="1"/>
  <c r="L98" i="1"/>
  <c r="O98" i="1"/>
  <c r="L99" i="1"/>
  <c r="O99" i="1"/>
  <c r="L100" i="1"/>
  <c r="O100" i="1"/>
  <c r="L101" i="1"/>
  <c r="O101" i="1"/>
  <c r="L102" i="1"/>
  <c r="O102" i="1"/>
  <c r="L103" i="1"/>
  <c r="O103" i="1"/>
  <c r="L104" i="1"/>
  <c r="O104" i="1"/>
  <c r="L105" i="1"/>
  <c r="O105" i="1"/>
  <c r="L106" i="1"/>
  <c r="O106" i="1"/>
  <c r="L107" i="1"/>
  <c r="O107" i="1"/>
  <c r="L108" i="1"/>
  <c r="O108" i="1"/>
  <c r="L109" i="1"/>
  <c r="O109" i="1"/>
  <c r="L110" i="1"/>
  <c r="O110" i="1"/>
  <c r="L111" i="1"/>
  <c r="O111" i="1"/>
  <c r="L112" i="1"/>
  <c r="O112" i="1"/>
  <c r="L113" i="1"/>
  <c r="O113" i="1"/>
  <c r="L114" i="1"/>
  <c r="O114" i="1"/>
  <c r="L115" i="1"/>
  <c r="O115" i="1"/>
  <c r="L116" i="1"/>
  <c r="O116" i="1"/>
  <c r="L117" i="1"/>
  <c r="O117" i="1"/>
  <c r="L118" i="1"/>
  <c r="O118" i="1"/>
  <c r="L119" i="1"/>
  <c r="O119" i="1"/>
  <c r="L120" i="1"/>
  <c r="O120" i="1"/>
  <c r="L121" i="1"/>
  <c r="O121" i="1"/>
  <c r="L122" i="1"/>
  <c r="O122" i="1"/>
  <c r="L123" i="1"/>
  <c r="O123" i="1"/>
  <c r="L124" i="1"/>
  <c r="O124" i="1"/>
  <c r="L125" i="1"/>
  <c r="O125" i="1"/>
  <c r="L126" i="1"/>
  <c r="O126" i="1"/>
  <c r="L127" i="1"/>
  <c r="O127" i="1"/>
  <c r="L128" i="1"/>
  <c r="O128" i="1"/>
  <c r="L129" i="1"/>
  <c r="O129" i="1"/>
  <c r="L130" i="1"/>
  <c r="O130" i="1"/>
  <c r="L131" i="1"/>
  <c r="O131" i="1"/>
  <c r="L132" i="1"/>
  <c r="O132" i="1"/>
  <c r="L133" i="1"/>
  <c r="O133" i="1"/>
  <c r="L134" i="1"/>
  <c r="O134" i="1"/>
  <c r="L135" i="1"/>
  <c r="O135" i="1"/>
  <c r="L136" i="1"/>
  <c r="O136" i="1"/>
  <c r="L137" i="1"/>
  <c r="O137" i="1"/>
</calcChain>
</file>

<file path=xl/sharedStrings.xml><?xml version="1.0" encoding="utf-8"?>
<sst xmlns="http://schemas.openxmlformats.org/spreadsheetml/2006/main" count="1253" uniqueCount="73">
  <si>
    <t xml:space="preserve"> Group By: ( Pricing Vs Comparison Customer ) </t>
  </si>
  <si>
    <t>Pur Customer #</t>
  </si>
  <si>
    <t>Pur Customer Name</t>
  </si>
  <si>
    <t>Pur Customer City</t>
  </si>
  <si>
    <t>Pur Customer State</t>
  </si>
  <si>
    <t>Comp Customer #</t>
  </si>
  <si>
    <t>Comp Customer Name</t>
  </si>
  <si>
    <t>Comp Customer City</t>
  </si>
  <si>
    <t>Comp Customer State</t>
  </si>
  <si>
    <t>ABC #</t>
  </si>
  <si>
    <t>Product Description</t>
  </si>
  <si>
    <t>NDC</t>
  </si>
  <si>
    <t>Supplier #</t>
  </si>
  <si>
    <t>Supplier Name</t>
  </si>
  <si>
    <t>Invoice #</t>
  </si>
  <si>
    <t>Invoice Date</t>
  </si>
  <si>
    <t>Contract #</t>
  </si>
  <si>
    <t>Contract Name</t>
  </si>
  <si>
    <t>Qty Shipped</t>
  </si>
  <si>
    <t>Pur Invoice Price</t>
  </si>
  <si>
    <t>Pur Current Acq Cost</t>
  </si>
  <si>
    <t>Pur Total Extended Cost</t>
  </si>
  <si>
    <t>Pur Current Ext Acq Cost</t>
  </si>
  <si>
    <t>Comp Current Acq Cost</t>
  </si>
  <si>
    <t>Comp Current Ext Acq Cost</t>
  </si>
  <si>
    <t>Savings based on Invoice Price</t>
  </si>
  <si>
    <t>Savings based on Current Cost</t>
  </si>
  <si>
    <t>Group By: ( Pricing Vs Comparison Customer 100084829-AUDUBON CTY MEM HOSP 340B-100063196-AUDUBON COUNTY MEMORIAL HOSP )</t>
  </si>
  <si>
    <t>AUDUBON CTY MEM HOSP 340B</t>
  </si>
  <si>
    <t>AUDUBON</t>
  </si>
  <si>
    <t>IA</t>
  </si>
  <si>
    <t>AUDUBON COUNTY MEMORIAL HOSP</t>
  </si>
  <si>
    <t>ALOXI 0.25 MG/5ML VL 5 ML</t>
  </si>
  <si>
    <t>HELSINN THERAPEUTICS (US) INC./ICS</t>
  </si>
  <si>
    <t>PHS-PUBLIC HEALTH SERVICE</t>
  </si>
  <si>
    <t>EISAI INC.</t>
  </si>
  <si>
    <t>APEX EISAI C11711-9</t>
  </si>
  <si>
    <t>ARANESP 200 MCG SYG 0.4 ML</t>
  </si>
  <si>
    <t>AMGEN INC</t>
  </si>
  <si>
    <t>340B-PHS AMGEN NON ORPHAN-MLT 0005420000</t>
  </si>
  <si>
    <t>ARANESP 300 MCG SYG 0.6 ML</t>
  </si>
  <si>
    <t>ARANESP 40 MCG SYG 4X0.4 ML</t>
  </si>
  <si>
    <t>ARANESP 60 MCG SYG 4X0.3 ML</t>
  </si>
  <si>
    <t>DEPO TESTOSTERONE 200 MG-ML VL 1 ML</t>
  </si>
  <si>
    <t>PFIZER PHARM/INJ</t>
  </si>
  <si>
    <t>340B NO ORPHAN FORMULARY</t>
  </si>
  <si>
    <t>PHS NO ORPHAN DRUGS</t>
  </si>
  <si>
    <t>EMEND PWD 150 MG SDV 5 ML</t>
  </si>
  <si>
    <t>MERCK &amp; CO / USHH PDP</t>
  </si>
  <si>
    <t>APEXUS 340B PRIME VENDOR</t>
  </si>
  <si>
    <t>GAMMAGARD 10 GM VL 100 ML ASD</t>
  </si>
  <si>
    <t>ASD SPEC. HEALTHCARE/DS</t>
  </si>
  <si>
    <t>APHSBX - ASD - 340B</t>
  </si>
  <si>
    <t>GAMMAGARD 5 GM VL 50 ML ASD</t>
  </si>
  <si>
    <t>GAMMAGARD30 GM VL 300 ML ASD</t>
  </si>
  <si>
    <t>INFLECTRA 100 MG VL</t>
  </si>
  <si>
    <t>PFIZER INC</t>
  </si>
  <si>
    <t>INJECTAFER 750 MG VL 15 ML</t>
  </si>
  <si>
    <t>AMERICAN REGENT LAB - BRAND</t>
  </si>
  <si>
    <t>NEUPOGEN 300 MCG SYG 0.5 ML</t>
  </si>
  <si>
    <t>AMGEN ORPHAN PRODUCTS FOR EXPANSION</t>
  </si>
  <si>
    <t>NEUPOGEN 480 MCG SYG 0.8 ML</t>
  </si>
  <si>
    <t>PHSB AMGEN 0018340600</t>
  </si>
  <si>
    <t>PROCRIT 10000 UN/ML VL 6X1 ML</t>
  </si>
  <si>
    <t>J-O-M PHARM SERVICES</t>
  </si>
  <si>
    <t>JOM VOLUNTARY ORPHAN FOR ACA</t>
  </si>
  <si>
    <t>PROCRIT 40000 UN/ML VL 4X1 ML</t>
  </si>
  <si>
    <t>PROLIA 60 MG SYG 1 ML</t>
  </si>
  <si>
    <t>STELARA 90 MG SYG 1 ML</t>
  </si>
  <si>
    <t>ZOLEDRONIC AC 5 MG VL 100 ML</t>
  </si>
  <si>
    <t>DR. REDDYS LABORATORIES, INC.</t>
  </si>
  <si>
    <t>Sub Total ( Pricing Vs Comparison Customer 100084829-AUDUBON CTY MEM HOSP 340B-100063196-AUDUBON COUNTY MEMORIAL HOSP 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</si>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</sst>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9"/>
  <sheetViews>
    <sheetView tabSelected="1" topLeftCell="J1" zoomScale="70" zoomScaleNormal="70" workbookViewId="0">
      <pane ySplit="1" topLeftCell="A2" activePane="bottomLeft" state="frozen"/>
      <selection activeCell="P1" sqref="P1"/>
      <selection pane="bottomLeft" activeCell="R147" sqref="R147"/>
    </sheetView>
  </sheetViews>
  <sheetFormatPr defaultRowHeight="15" x14ac:dyDescent="0.25"/>
  <cols>
    <col min="1" max="1" width="7.7109375" customWidth="1"/>
    <col min="2" max="2" width="14.5703125" bestFit="1" customWidth="1"/>
    <col min="3" max="3" width="29" bestFit="1" customWidth="1"/>
    <col min="4" max="4" width="17" bestFit="1" customWidth="1"/>
    <col min="5" max="5" width="18.28515625" bestFit="1" customWidth="1"/>
    <col min="6" max="6" width="16.7109375" bestFit="1" customWidth="1"/>
    <col min="7" max="7" width="34.140625" bestFit="1" customWidth="1"/>
    <col min="8" max="8" width="19.28515625" bestFit="1" customWidth="1"/>
    <col min="9" max="9" width="20.42578125" bestFit="1" customWidth="1"/>
    <col min="10" max="10" width="9" bestFit="1" customWidth="1"/>
    <col min="11" max="11" width="37.7109375" bestFit="1" customWidth="1"/>
    <col min="12" max="12" width="12" bestFit="1" customWidth="1"/>
    <col min="13" max="13" width="9.85546875" bestFit="1" customWidth="1"/>
    <col min="14" max="14" width="34.5703125" bestFit="1" customWidth="1"/>
    <col min="15" max="15" width="11" bestFit="1" customWidth="1"/>
    <col min="16" max="16" width="12" bestFit="1" customWidth="1"/>
    <col min="17" max="17" width="11" bestFit="1" customWidth="1"/>
    <col min="18" max="18" width="45.140625" bestFit="1" customWidth="1"/>
    <col min="19" max="19" width="11.85546875" bestFit="1" customWidth="1"/>
    <col min="20" max="20" width="15.85546875" bestFit="1" customWidth="1"/>
    <col min="21" max="21" width="19.42578125" bestFit="1" customWidth="1"/>
    <col min="22" max="22" width="22.42578125" bestFit="1" customWidth="1"/>
    <col min="23" max="23" width="22.7109375" bestFit="1" customWidth="1"/>
    <col min="24" max="24" width="21.7109375" bestFit="1" customWidth="1"/>
    <col min="25" max="25" width="24.85546875" bestFit="1" customWidth="1"/>
    <col min="26" max="26" width="28.28515625" bestFit="1" customWidth="1"/>
    <col min="27" max="27" width="28" bestFit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 t="s">
        <v>27</v>
      </c>
      <c r="B2">
        <v>100084829</v>
      </c>
      <c r="C2" t="s">
        <v>28</v>
      </c>
      <c r="D2" t="s">
        <v>29</v>
      </c>
      <c r="E2" t="s">
        <v>30</v>
      </c>
      <c r="F2">
        <v>100063196</v>
      </c>
      <c r="G2" t="s">
        <v>31</v>
      </c>
      <c r="H2" t="s">
        <v>29</v>
      </c>
      <c r="I2" t="s">
        <v>30</v>
      </c>
      <c r="J2">
        <v>10054912</v>
      </c>
      <c r="K2" t="s">
        <v>32</v>
      </c>
      <c r="L2" t="str">
        <f t="shared" ref="L2:L12" si="0">"62856079701"</f>
        <v>62856079701</v>
      </c>
      <c r="M2">
        <v>50004911</v>
      </c>
      <c r="N2" t="s">
        <v>33</v>
      </c>
      <c r="O2" t="str">
        <f>"0941949983"</f>
        <v>0941949983</v>
      </c>
      <c r="P2" s="1">
        <v>43349</v>
      </c>
      <c r="Q2">
        <v>4000000175</v>
      </c>
      <c r="R2" t="s">
        <v>34</v>
      </c>
      <c r="S2">
        <v>1</v>
      </c>
      <c r="T2">
        <v>24.84</v>
      </c>
      <c r="U2">
        <v>24.84</v>
      </c>
      <c r="V2">
        <v>24.84</v>
      </c>
      <c r="W2">
        <v>24.84</v>
      </c>
      <c r="X2">
        <v>416.72</v>
      </c>
      <c r="Y2">
        <v>416.72</v>
      </c>
      <c r="Z2" s="2">
        <v>-391.88</v>
      </c>
      <c r="AA2">
        <v>-391.88</v>
      </c>
    </row>
    <row r="3" spans="1:27" x14ac:dyDescent="0.25">
      <c r="B3">
        <v>100084829</v>
      </c>
      <c r="C3" t="s">
        <v>28</v>
      </c>
      <c r="D3" t="s">
        <v>29</v>
      </c>
      <c r="E3" t="s">
        <v>30</v>
      </c>
      <c r="F3">
        <v>100063196</v>
      </c>
      <c r="G3" t="s">
        <v>31</v>
      </c>
      <c r="H3" t="s">
        <v>29</v>
      </c>
      <c r="I3" t="s">
        <v>30</v>
      </c>
      <c r="J3">
        <v>10054912</v>
      </c>
      <c r="K3" t="s">
        <v>32</v>
      </c>
      <c r="L3" t="str">
        <f t="shared" si="0"/>
        <v>62856079701</v>
      </c>
      <c r="M3">
        <v>50004911</v>
      </c>
      <c r="N3" t="s">
        <v>33</v>
      </c>
      <c r="O3" t="str">
        <f>"0945333459"</f>
        <v>0945333459</v>
      </c>
      <c r="P3" s="1">
        <v>43423</v>
      </c>
      <c r="Q3">
        <v>4000000175</v>
      </c>
      <c r="R3" t="s">
        <v>34</v>
      </c>
      <c r="S3">
        <v>1</v>
      </c>
      <c r="T3">
        <v>70.84</v>
      </c>
      <c r="U3">
        <v>24.84</v>
      </c>
      <c r="V3">
        <v>70.84</v>
      </c>
      <c r="W3">
        <v>24.84</v>
      </c>
      <c r="X3">
        <v>416.72</v>
      </c>
      <c r="Y3">
        <v>416.72</v>
      </c>
      <c r="Z3" s="2">
        <v>-345.88</v>
      </c>
      <c r="AA3">
        <v>-391.88</v>
      </c>
    </row>
    <row r="4" spans="1:27" x14ac:dyDescent="0.25">
      <c r="B4">
        <v>100084829</v>
      </c>
      <c r="C4" t="s">
        <v>28</v>
      </c>
      <c r="D4" t="s">
        <v>29</v>
      </c>
      <c r="E4" t="s">
        <v>30</v>
      </c>
      <c r="F4">
        <v>100063196</v>
      </c>
      <c r="G4" t="s">
        <v>31</v>
      </c>
      <c r="H4" t="s">
        <v>29</v>
      </c>
      <c r="I4" t="s">
        <v>30</v>
      </c>
      <c r="J4">
        <v>10054912</v>
      </c>
      <c r="K4" t="s">
        <v>32</v>
      </c>
      <c r="L4" t="str">
        <f t="shared" si="0"/>
        <v>62856079701</v>
      </c>
      <c r="M4">
        <v>50004911</v>
      </c>
      <c r="N4" t="s">
        <v>33</v>
      </c>
      <c r="O4" t="str">
        <f>"0943068547"</f>
        <v>0943068547</v>
      </c>
      <c r="P4" s="1">
        <v>43374</v>
      </c>
      <c r="Q4">
        <v>4000000175</v>
      </c>
      <c r="R4" t="s">
        <v>34</v>
      </c>
      <c r="S4">
        <v>1</v>
      </c>
      <c r="T4">
        <v>24.84</v>
      </c>
      <c r="U4">
        <v>24.84</v>
      </c>
      <c r="V4">
        <v>24.84</v>
      </c>
      <c r="W4">
        <v>24.84</v>
      </c>
      <c r="X4">
        <v>416.72</v>
      </c>
      <c r="Y4">
        <v>416.72</v>
      </c>
      <c r="Z4" s="2">
        <v>-391.88</v>
      </c>
      <c r="AA4">
        <v>-391.88</v>
      </c>
    </row>
    <row r="5" spans="1:27" x14ac:dyDescent="0.25">
      <c r="B5">
        <v>100084829</v>
      </c>
      <c r="C5" t="s">
        <v>28</v>
      </c>
      <c r="D5" t="s">
        <v>29</v>
      </c>
      <c r="E5" t="s">
        <v>30</v>
      </c>
      <c r="F5">
        <v>100063196</v>
      </c>
      <c r="G5" t="s">
        <v>31</v>
      </c>
      <c r="H5" t="s">
        <v>29</v>
      </c>
      <c r="I5" t="s">
        <v>30</v>
      </c>
      <c r="J5">
        <v>10054912</v>
      </c>
      <c r="K5" t="s">
        <v>32</v>
      </c>
      <c r="L5" t="str">
        <f t="shared" si="0"/>
        <v>62856079701</v>
      </c>
      <c r="M5">
        <v>50001257</v>
      </c>
      <c r="N5" t="s">
        <v>35</v>
      </c>
      <c r="O5" t="str">
        <f>"0932174929"</f>
        <v>0932174929</v>
      </c>
      <c r="P5" s="1">
        <v>43139</v>
      </c>
      <c r="Q5">
        <v>3000011094</v>
      </c>
      <c r="R5" t="s">
        <v>36</v>
      </c>
      <c r="S5">
        <v>1</v>
      </c>
      <c r="T5">
        <v>136.46</v>
      </c>
      <c r="U5">
        <v>24.84</v>
      </c>
      <c r="V5">
        <v>136.46</v>
      </c>
      <c r="W5">
        <v>24.84</v>
      </c>
      <c r="X5">
        <v>416.72</v>
      </c>
      <c r="Y5">
        <v>416.72</v>
      </c>
      <c r="Z5" s="2">
        <v>-280.26</v>
      </c>
      <c r="AA5">
        <v>-391.88</v>
      </c>
    </row>
    <row r="6" spans="1:27" x14ac:dyDescent="0.25">
      <c r="B6">
        <v>100084829</v>
      </c>
      <c r="C6" t="s">
        <v>28</v>
      </c>
      <c r="D6" t="s">
        <v>29</v>
      </c>
      <c r="E6" t="s">
        <v>30</v>
      </c>
      <c r="F6">
        <v>100063196</v>
      </c>
      <c r="G6" t="s">
        <v>31</v>
      </c>
      <c r="H6" t="s">
        <v>29</v>
      </c>
      <c r="I6" t="s">
        <v>30</v>
      </c>
      <c r="J6">
        <v>10054912</v>
      </c>
      <c r="K6" t="s">
        <v>32</v>
      </c>
      <c r="L6" t="str">
        <f t="shared" si="0"/>
        <v>62856079701</v>
      </c>
      <c r="M6">
        <v>50004911</v>
      </c>
      <c r="N6" t="s">
        <v>33</v>
      </c>
      <c r="O6" t="str">
        <f>"0944509842"</f>
        <v>0944509842</v>
      </c>
      <c r="P6" s="1">
        <v>43405</v>
      </c>
      <c r="Q6">
        <v>4000000175</v>
      </c>
      <c r="R6" t="s">
        <v>34</v>
      </c>
      <c r="S6">
        <v>1</v>
      </c>
      <c r="T6">
        <v>70.84</v>
      </c>
      <c r="U6">
        <v>24.84</v>
      </c>
      <c r="V6">
        <v>70.84</v>
      </c>
      <c r="W6">
        <v>24.84</v>
      </c>
      <c r="X6">
        <v>416.72</v>
      </c>
      <c r="Y6">
        <v>416.72</v>
      </c>
      <c r="Z6" s="2">
        <v>-345.88</v>
      </c>
      <c r="AA6">
        <v>-391.88</v>
      </c>
    </row>
    <row r="7" spans="1:27" x14ac:dyDescent="0.25">
      <c r="B7">
        <v>100084829</v>
      </c>
      <c r="C7" t="s">
        <v>28</v>
      </c>
      <c r="D7" t="s">
        <v>29</v>
      </c>
      <c r="E7" t="s">
        <v>30</v>
      </c>
      <c r="F7">
        <v>100063196</v>
      </c>
      <c r="G7" t="s">
        <v>31</v>
      </c>
      <c r="H7" t="s">
        <v>29</v>
      </c>
      <c r="I7" t="s">
        <v>30</v>
      </c>
      <c r="J7">
        <v>10054912</v>
      </c>
      <c r="K7" t="s">
        <v>32</v>
      </c>
      <c r="L7" t="str">
        <f t="shared" si="0"/>
        <v>62856079701</v>
      </c>
      <c r="M7">
        <v>50004911</v>
      </c>
      <c r="N7" t="s">
        <v>33</v>
      </c>
      <c r="O7" t="str">
        <f>"0945870090"</f>
        <v>0945870090</v>
      </c>
      <c r="P7" s="1">
        <v>43437</v>
      </c>
      <c r="Q7">
        <v>4000000175</v>
      </c>
      <c r="R7" t="s">
        <v>34</v>
      </c>
      <c r="S7">
        <v>1</v>
      </c>
      <c r="T7">
        <v>70.84</v>
      </c>
      <c r="U7">
        <v>24.84</v>
      </c>
      <c r="V7">
        <v>70.84</v>
      </c>
      <c r="W7">
        <v>24.84</v>
      </c>
      <c r="X7">
        <v>416.72</v>
      </c>
      <c r="Y7">
        <v>416.72</v>
      </c>
      <c r="Z7" s="2">
        <v>-345.88</v>
      </c>
      <c r="AA7">
        <v>-391.88</v>
      </c>
    </row>
    <row r="8" spans="1:27" x14ac:dyDescent="0.25">
      <c r="B8">
        <v>100084829</v>
      </c>
      <c r="C8" t="s">
        <v>28</v>
      </c>
      <c r="D8" t="s">
        <v>29</v>
      </c>
      <c r="E8" t="s">
        <v>30</v>
      </c>
      <c r="F8">
        <v>100063196</v>
      </c>
      <c r="G8" t="s">
        <v>31</v>
      </c>
      <c r="H8" t="s">
        <v>29</v>
      </c>
      <c r="I8" t="s">
        <v>30</v>
      </c>
      <c r="J8">
        <v>10054912</v>
      </c>
      <c r="K8" t="s">
        <v>32</v>
      </c>
      <c r="L8" t="str">
        <f t="shared" si="0"/>
        <v>62856079701</v>
      </c>
      <c r="M8">
        <v>50001257</v>
      </c>
      <c r="N8" t="s">
        <v>35</v>
      </c>
      <c r="O8" t="str">
        <f>"0938055827"</f>
        <v>0938055827</v>
      </c>
      <c r="P8" s="1">
        <v>43262</v>
      </c>
      <c r="Q8">
        <v>3000011094</v>
      </c>
      <c r="R8" t="s">
        <v>36</v>
      </c>
      <c r="S8">
        <v>1</v>
      </c>
      <c r="T8">
        <v>113.57</v>
      </c>
      <c r="U8">
        <v>24.84</v>
      </c>
      <c r="V8">
        <v>113.57</v>
      </c>
      <c r="W8">
        <v>24.84</v>
      </c>
      <c r="X8">
        <v>416.72</v>
      </c>
      <c r="Y8">
        <v>416.72</v>
      </c>
      <c r="Z8" s="2">
        <v>-303.14999999999998</v>
      </c>
      <c r="AA8">
        <v>-391.88</v>
      </c>
    </row>
    <row r="9" spans="1:27" x14ac:dyDescent="0.25">
      <c r="B9">
        <v>100084829</v>
      </c>
      <c r="C9" t="s">
        <v>28</v>
      </c>
      <c r="D9" t="s">
        <v>29</v>
      </c>
      <c r="E9" t="s">
        <v>30</v>
      </c>
      <c r="F9">
        <v>100063196</v>
      </c>
      <c r="G9" t="s">
        <v>31</v>
      </c>
      <c r="H9" t="s">
        <v>29</v>
      </c>
      <c r="I9" t="s">
        <v>30</v>
      </c>
      <c r="J9">
        <v>10054912</v>
      </c>
      <c r="K9" t="s">
        <v>32</v>
      </c>
      <c r="L9" t="str">
        <f t="shared" si="0"/>
        <v>62856079701</v>
      </c>
      <c r="M9">
        <v>50001257</v>
      </c>
      <c r="N9" t="s">
        <v>35</v>
      </c>
      <c r="O9" t="str">
        <f>"0933641720"</f>
        <v>0933641720</v>
      </c>
      <c r="P9" s="1">
        <v>43167</v>
      </c>
      <c r="Q9">
        <v>3000011094</v>
      </c>
      <c r="R9" t="s">
        <v>36</v>
      </c>
      <c r="S9">
        <v>1</v>
      </c>
      <c r="T9">
        <v>136.46</v>
      </c>
      <c r="U9">
        <v>24.84</v>
      </c>
      <c r="V9">
        <v>136.46</v>
      </c>
      <c r="W9">
        <v>24.84</v>
      </c>
      <c r="X9">
        <v>416.72</v>
      </c>
      <c r="Y9">
        <v>416.72</v>
      </c>
      <c r="Z9" s="2">
        <v>-280.26</v>
      </c>
      <c r="AA9">
        <v>-391.88</v>
      </c>
    </row>
    <row r="10" spans="1:27" x14ac:dyDescent="0.25">
      <c r="B10">
        <v>100084829</v>
      </c>
      <c r="C10" t="s">
        <v>28</v>
      </c>
      <c r="D10" t="s">
        <v>29</v>
      </c>
      <c r="E10" t="s">
        <v>30</v>
      </c>
      <c r="F10">
        <v>100063196</v>
      </c>
      <c r="G10" t="s">
        <v>31</v>
      </c>
      <c r="H10" t="s">
        <v>29</v>
      </c>
      <c r="I10" t="s">
        <v>30</v>
      </c>
      <c r="J10">
        <v>10054912</v>
      </c>
      <c r="K10" t="s">
        <v>32</v>
      </c>
      <c r="L10" t="str">
        <f t="shared" si="0"/>
        <v>62856079701</v>
      </c>
      <c r="M10">
        <v>50004911</v>
      </c>
      <c r="N10" t="s">
        <v>33</v>
      </c>
      <c r="O10" t="str">
        <f>"0943562626"</f>
        <v>0943562626</v>
      </c>
      <c r="P10" s="1">
        <v>43384</v>
      </c>
      <c r="Q10">
        <v>4000000175</v>
      </c>
      <c r="R10" t="s">
        <v>34</v>
      </c>
      <c r="S10">
        <v>1</v>
      </c>
      <c r="T10">
        <v>70.84</v>
      </c>
      <c r="U10">
        <v>24.84</v>
      </c>
      <c r="V10">
        <v>70.84</v>
      </c>
      <c r="W10">
        <v>24.84</v>
      </c>
      <c r="X10">
        <v>416.72</v>
      </c>
      <c r="Y10">
        <v>416.72</v>
      </c>
      <c r="Z10" s="2">
        <v>-345.88</v>
      </c>
      <c r="AA10">
        <v>-391.88</v>
      </c>
    </row>
    <row r="11" spans="1:27" x14ac:dyDescent="0.25">
      <c r="B11">
        <v>100084829</v>
      </c>
      <c r="C11" t="s">
        <v>28</v>
      </c>
      <c r="D11" t="s">
        <v>29</v>
      </c>
      <c r="E11" t="s">
        <v>30</v>
      </c>
      <c r="F11">
        <v>100063196</v>
      </c>
      <c r="G11" t="s">
        <v>31</v>
      </c>
      <c r="H11" t="s">
        <v>29</v>
      </c>
      <c r="I11" t="s">
        <v>30</v>
      </c>
      <c r="J11">
        <v>10054912</v>
      </c>
      <c r="K11" t="s">
        <v>32</v>
      </c>
      <c r="L11" t="str">
        <f t="shared" si="0"/>
        <v>62856079701</v>
      </c>
      <c r="M11">
        <v>50004911</v>
      </c>
      <c r="N11" t="s">
        <v>33</v>
      </c>
      <c r="O11" t="str">
        <f>"0939017181"</f>
        <v>0939017181</v>
      </c>
      <c r="P11" s="1">
        <v>43283</v>
      </c>
      <c r="Q11">
        <v>3000011094</v>
      </c>
      <c r="R11" t="s">
        <v>36</v>
      </c>
      <c r="S11">
        <v>1</v>
      </c>
      <c r="T11">
        <v>113.57</v>
      </c>
      <c r="U11">
        <v>24.84</v>
      </c>
      <c r="V11">
        <v>113.57</v>
      </c>
      <c r="W11">
        <v>24.84</v>
      </c>
      <c r="X11">
        <v>416.72</v>
      </c>
      <c r="Y11">
        <v>416.72</v>
      </c>
      <c r="Z11" s="2">
        <v>-303.14999999999998</v>
      </c>
      <c r="AA11">
        <v>-391.88</v>
      </c>
    </row>
    <row r="12" spans="1:27" x14ac:dyDescent="0.25">
      <c r="B12">
        <v>100084829</v>
      </c>
      <c r="C12" t="s">
        <v>28</v>
      </c>
      <c r="D12" t="s">
        <v>29</v>
      </c>
      <c r="E12" t="s">
        <v>30</v>
      </c>
      <c r="F12">
        <v>100063196</v>
      </c>
      <c r="G12" t="s">
        <v>31</v>
      </c>
      <c r="H12" t="s">
        <v>29</v>
      </c>
      <c r="I12" t="s">
        <v>30</v>
      </c>
      <c r="J12">
        <v>10054912</v>
      </c>
      <c r="K12" t="s">
        <v>32</v>
      </c>
      <c r="L12" t="str">
        <f t="shared" si="0"/>
        <v>62856079701</v>
      </c>
      <c r="M12">
        <v>50004911</v>
      </c>
      <c r="N12" t="s">
        <v>33</v>
      </c>
      <c r="O12" t="str">
        <f>"0946395448"</f>
        <v>0946395448</v>
      </c>
      <c r="P12" s="1">
        <v>43447</v>
      </c>
      <c r="Q12">
        <v>4000000175</v>
      </c>
      <c r="R12" t="s">
        <v>34</v>
      </c>
      <c r="S12">
        <v>1</v>
      </c>
      <c r="T12">
        <v>70.84</v>
      </c>
      <c r="U12">
        <v>24.84</v>
      </c>
      <c r="V12">
        <v>70.84</v>
      </c>
      <c r="W12">
        <v>24.84</v>
      </c>
      <c r="X12">
        <v>416.72</v>
      </c>
      <c r="Y12">
        <v>416.72</v>
      </c>
      <c r="Z12" s="2">
        <v>-345.88</v>
      </c>
      <c r="AA12">
        <v>-391.88</v>
      </c>
    </row>
    <row r="13" spans="1:27" x14ac:dyDescent="0.25">
      <c r="B13">
        <v>100084829</v>
      </c>
      <c r="C13" t="s">
        <v>28</v>
      </c>
      <c r="D13" t="s">
        <v>29</v>
      </c>
      <c r="E13" t="s">
        <v>30</v>
      </c>
      <c r="F13">
        <v>100063196</v>
      </c>
      <c r="G13" t="s">
        <v>31</v>
      </c>
      <c r="H13" t="s">
        <v>29</v>
      </c>
      <c r="I13" t="s">
        <v>30</v>
      </c>
      <c r="J13">
        <v>10028760</v>
      </c>
      <c r="K13" t="s">
        <v>37</v>
      </c>
      <c r="L13" t="str">
        <f t="shared" ref="L13:L28" si="1">"55513002801"</f>
        <v>55513002801</v>
      </c>
      <c r="M13">
        <v>50001118</v>
      </c>
      <c r="N13" t="s">
        <v>38</v>
      </c>
      <c r="O13" t="str">
        <f>"0943385136"</f>
        <v>0943385136</v>
      </c>
      <c r="P13" s="1">
        <v>43381</v>
      </c>
      <c r="Q13">
        <v>3000015869</v>
      </c>
      <c r="R13" t="s">
        <v>39</v>
      </c>
      <c r="S13">
        <v>1</v>
      </c>
      <c r="T13">
        <v>520.62</v>
      </c>
      <c r="U13">
        <v>520.62</v>
      </c>
      <c r="V13">
        <v>520.62</v>
      </c>
      <c r="W13">
        <v>520.62</v>
      </c>
      <c r="X13">
        <v>1367.05</v>
      </c>
      <c r="Y13">
        <v>1367.05</v>
      </c>
      <c r="Z13" s="2">
        <v>-846.43</v>
      </c>
      <c r="AA13">
        <v>-846.43</v>
      </c>
    </row>
    <row r="14" spans="1:27" x14ac:dyDescent="0.25">
      <c r="B14">
        <v>100084829</v>
      </c>
      <c r="C14" t="s">
        <v>28</v>
      </c>
      <c r="D14" t="s">
        <v>29</v>
      </c>
      <c r="E14" t="s">
        <v>30</v>
      </c>
      <c r="F14">
        <v>100063196</v>
      </c>
      <c r="G14" t="s">
        <v>31</v>
      </c>
      <c r="H14" t="s">
        <v>29</v>
      </c>
      <c r="I14" t="s">
        <v>30</v>
      </c>
      <c r="J14">
        <v>10028760</v>
      </c>
      <c r="K14" t="s">
        <v>37</v>
      </c>
      <c r="L14" t="str">
        <f t="shared" si="1"/>
        <v>55513002801</v>
      </c>
      <c r="M14">
        <v>50001118</v>
      </c>
      <c r="N14" t="s">
        <v>38</v>
      </c>
      <c r="O14" t="str">
        <f>"0931449042"</f>
        <v>0931449042</v>
      </c>
      <c r="P14" s="1">
        <v>43125</v>
      </c>
      <c r="Q14">
        <v>3000015869</v>
      </c>
      <c r="R14" t="s">
        <v>39</v>
      </c>
      <c r="S14">
        <v>1</v>
      </c>
      <c r="T14">
        <v>556.64</v>
      </c>
      <c r="U14">
        <v>520.62</v>
      </c>
      <c r="V14">
        <v>556.64</v>
      </c>
      <c r="W14">
        <v>520.62</v>
      </c>
      <c r="X14">
        <v>1367.05</v>
      </c>
      <c r="Y14">
        <v>1367.05</v>
      </c>
      <c r="Z14" s="2">
        <v>-810.41</v>
      </c>
      <c r="AA14">
        <v>-846.43</v>
      </c>
    </row>
    <row r="15" spans="1:27" x14ac:dyDescent="0.25">
      <c r="B15">
        <v>100084829</v>
      </c>
      <c r="C15" t="s">
        <v>28</v>
      </c>
      <c r="D15" t="s">
        <v>29</v>
      </c>
      <c r="E15" t="s">
        <v>30</v>
      </c>
      <c r="F15">
        <v>100063196</v>
      </c>
      <c r="G15" t="s">
        <v>31</v>
      </c>
      <c r="H15" t="s">
        <v>29</v>
      </c>
      <c r="I15" t="s">
        <v>30</v>
      </c>
      <c r="J15">
        <v>10028760</v>
      </c>
      <c r="K15" t="s">
        <v>37</v>
      </c>
      <c r="L15" t="str">
        <f t="shared" si="1"/>
        <v>55513002801</v>
      </c>
      <c r="M15">
        <v>50001118</v>
      </c>
      <c r="N15" t="s">
        <v>38</v>
      </c>
      <c r="O15" t="str">
        <f>"0932889606"</f>
        <v>0932889606</v>
      </c>
      <c r="P15" s="1">
        <v>43153</v>
      </c>
      <c r="Q15">
        <v>3000015869</v>
      </c>
      <c r="R15" t="s">
        <v>39</v>
      </c>
      <c r="S15">
        <v>1</v>
      </c>
      <c r="T15">
        <v>556.64</v>
      </c>
      <c r="U15">
        <v>520.62</v>
      </c>
      <c r="V15">
        <v>556.64</v>
      </c>
      <c r="W15">
        <v>520.62</v>
      </c>
      <c r="X15">
        <v>1367.05</v>
      </c>
      <c r="Y15">
        <v>1367.05</v>
      </c>
      <c r="Z15" s="2">
        <v>-810.41</v>
      </c>
      <c r="AA15">
        <v>-846.43</v>
      </c>
    </row>
    <row r="16" spans="1:27" x14ac:dyDescent="0.25">
      <c r="B16">
        <v>100084829</v>
      </c>
      <c r="C16" t="s">
        <v>28</v>
      </c>
      <c r="D16" t="s">
        <v>29</v>
      </c>
      <c r="E16" t="s">
        <v>30</v>
      </c>
      <c r="F16">
        <v>100063196</v>
      </c>
      <c r="G16" t="s">
        <v>31</v>
      </c>
      <c r="H16" t="s">
        <v>29</v>
      </c>
      <c r="I16" t="s">
        <v>30</v>
      </c>
      <c r="J16">
        <v>10028760</v>
      </c>
      <c r="K16" t="s">
        <v>37</v>
      </c>
      <c r="L16" t="str">
        <f t="shared" si="1"/>
        <v>55513002801</v>
      </c>
      <c r="M16">
        <v>50001118</v>
      </c>
      <c r="N16" t="s">
        <v>38</v>
      </c>
      <c r="O16" t="str">
        <f>"0930426428"</f>
        <v>0930426428</v>
      </c>
      <c r="P16" s="1">
        <v>43104</v>
      </c>
      <c r="Q16">
        <v>3000015869</v>
      </c>
      <c r="R16" t="s">
        <v>39</v>
      </c>
      <c r="S16">
        <v>1</v>
      </c>
      <c r="T16">
        <v>556.64</v>
      </c>
      <c r="U16">
        <v>520.62</v>
      </c>
      <c r="V16">
        <v>556.64</v>
      </c>
      <c r="W16">
        <v>520.62</v>
      </c>
      <c r="X16">
        <v>1367.05</v>
      </c>
      <c r="Y16">
        <v>1367.05</v>
      </c>
      <c r="Z16" s="2">
        <v>-810.41</v>
      </c>
      <c r="AA16">
        <v>-846.43</v>
      </c>
    </row>
    <row r="17" spans="2:27" x14ac:dyDescent="0.25">
      <c r="B17">
        <v>100084829</v>
      </c>
      <c r="C17" t="s">
        <v>28</v>
      </c>
      <c r="D17" t="s">
        <v>29</v>
      </c>
      <c r="E17" t="s">
        <v>30</v>
      </c>
      <c r="F17">
        <v>100063196</v>
      </c>
      <c r="G17" t="s">
        <v>31</v>
      </c>
      <c r="H17" t="s">
        <v>29</v>
      </c>
      <c r="I17" t="s">
        <v>30</v>
      </c>
      <c r="J17">
        <v>10028760</v>
      </c>
      <c r="K17" t="s">
        <v>37</v>
      </c>
      <c r="L17" t="str">
        <f t="shared" si="1"/>
        <v>55513002801</v>
      </c>
      <c r="M17">
        <v>50001118</v>
      </c>
      <c r="N17" t="s">
        <v>38</v>
      </c>
      <c r="O17" t="str">
        <f>"0937333841"</f>
        <v>0937333841</v>
      </c>
      <c r="P17" s="1">
        <v>43244</v>
      </c>
      <c r="Q17">
        <v>3000015869</v>
      </c>
      <c r="R17" t="s">
        <v>39</v>
      </c>
      <c r="S17">
        <v>1</v>
      </c>
      <c r="T17">
        <v>524.45000000000005</v>
      </c>
      <c r="U17">
        <v>520.62</v>
      </c>
      <c r="V17">
        <v>524.45000000000005</v>
      </c>
      <c r="W17">
        <v>520.62</v>
      </c>
      <c r="X17">
        <v>1367.05</v>
      </c>
      <c r="Y17">
        <v>1367.05</v>
      </c>
      <c r="Z17" s="2">
        <v>-842.6</v>
      </c>
      <c r="AA17">
        <v>-846.43</v>
      </c>
    </row>
    <row r="18" spans="2:27" x14ac:dyDescent="0.25">
      <c r="B18">
        <v>100084829</v>
      </c>
      <c r="C18" t="s">
        <v>28</v>
      </c>
      <c r="D18" t="s">
        <v>29</v>
      </c>
      <c r="E18" t="s">
        <v>30</v>
      </c>
      <c r="F18">
        <v>100063196</v>
      </c>
      <c r="G18" t="s">
        <v>31</v>
      </c>
      <c r="H18" t="s">
        <v>29</v>
      </c>
      <c r="I18" t="s">
        <v>30</v>
      </c>
      <c r="J18">
        <v>10028760</v>
      </c>
      <c r="K18" t="s">
        <v>37</v>
      </c>
      <c r="L18" t="str">
        <f t="shared" si="1"/>
        <v>55513002801</v>
      </c>
      <c r="M18">
        <v>50001118</v>
      </c>
      <c r="N18" t="s">
        <v>38</v>
      </c>
      <c r="O18" t="str">
        <f>"0936697708"</f>
        <v>0936697708</v>
      </c>
      <c r="P18" s="1">
        <v>43230</v>
      </c>
      <c r="Q18">
        <v>3000015869</v>
      </c>
      <c r="R18" t="s">
        <v>39</v>
      </c>
      <c r="S18">
        <v>1</v>
      </c>
      <c r="T18">
        <v>524.45000000000005</v>
      </c>
      <c r="U18">
        <v>520.62</v>
      </c>
      <c r="V18">
        <v>524.45000000000005</v>
      </c>
      <c r="W18">
        <v>520.62</v>
      </c>
      <c r="X18">
        <v>1367.05</v>
      </c>
      <c r="Y18">
        <v>1367.05</v>
      </c>
      <c r="Z18" s="2">
        <v>-842.6</v>
      </c>
      <c r="AA18">
        <v>-846.43</v>
      </c>
    </row>
    <row r="19" spans="2:27" x14ac:dyDescent="0.25">
      <c r="B19">
        <v>100084829</v>
      </c>
      <c r="C19" t="s">
        <v>28</v>
      </c>
      <c r="D19" t="s">
        <v>29</v>
      </c>
      <c r="E19" t="s">
        <v>30</v>
      </c>
      <c r="F19">
        <v>100063196</v>
      </c>
      <c r="G19" t="s">
        <v>31</v>
      </c>
      <c r="H19" t="s">
        <v>29</v>
      </c>
      <c r="I19" t="s">
        <v>30</v>
      </c>
      <c r="J19">
        <v>10028760</v>
      </c>
      <c r="K19" t="s">
        <v>37</v>
      </c>
      <c r="L19" t="str">
        <f t="shared" si="1"/>
        <v>55513002801</v>
      </c>
      <c r="M19">
        <v>50001118</v>
      </c>
      <c r="N19" t="s">
        <v>38</v>
      </c>
      <c r="O19" t="str">
        <f>"0936193842"</f>
        <v>0936193842</v>
      </c>
      <c r="P19" s="1">
        <v>43220</v>
      </c>
      <c r="Q19">
        <v>3000015869</v>
      </c>
      <c r="R19" t="s">
        <v>39</v>
      </c>
      <c r="S19">
        <v>1</v>
      </c>
      <c r="T19">
        <v>524.45000000000005</v>
      </c>
      <c r="U19">
        <v>520.62</v>
      </c>
      <c r="V19">
        <v>524.45000000000005</v>
      </c>
      <c r="W19">
        <v>520.62</v>
      </c>
      <c r="X19">
        <v>1367.05</v>
      </c>
      <c r="Y19">
        <v>1367.05</v>
      </c>
      <c r="Z19" s="2">
        <v>-842.6</v>
      </c>
      <c r="AA19">
        <v>-846.43</v>
      </c>
    </row>
    <row r="20" spans="2:27" x14ac:dyDescent="0.25">
      <c r="B20">
        <v>100084829</v>
      </c>
      <c r="C20" t="s">
        <v>28</v>
      </c>
      <c r="D20" t="s">
        <v>29</v>
      </c>
      <c r="E20" t="s">
        <v>30</v>
      </c>
      <c r="F20">
        <v>100063196</v>
      </c>
      <c r="G20" t="s">
        <v>31</v>
      </c>
      <c r="H20" t="s">
        <v>29</v>
      </c>
      <c r="I20" t="s">
        <v>30</v>
      </c>
      <c r="J20">
        <v>10028760</v>
      </c>
      <c r="K20" t="s">
        <v>37</v>
      </c>
      <c r="L20" t="str">
        <f t="shared" si="1"/>
        <v>55513002801</v>
      </c>
      <c r="M20">
        <v>50001118</v>
      </c>
      <c r="N20" t="s">
        <v>38</v>
      </c>
      <c r="O20" t="str">
        <f>"0932174929"</f>
        <v>0932174929</v>
      </c>
      <c r="P20" s="1">
        <v>43139</v>
      </c>
      <c r="Q20">
        <v>3000015869</v>
      </c>
      <c r="R20" t="s">
        <v>39</v>
      </c>
      <c r="S20">
        <v>1</v>
      </c>
      <c r="T20">
        <v>556.64</v>
      </c>
      <c r="U20">
        <v>520.62</v>
      </c>
      <c r="V20">
        <v>556.64</v>
      </c>
      <c r="W20">
        <v>520.62</v>
      </c>
      <c r="X20">
        <v>1367.05</v>
      </c>
      <c r="Y20">
        <v>1367.05</v>
      </c>
      <c r="Z20" s="2">
        <v>-810.41</v>
      </c>
      <c r="AA20">
        <v>-846.43</v>
      </c>
    </row>
    <row r="21" spans="2:27" x14ac:dyDescent="0.25">
      <c r="B21">
        <v>100084829</v>
      </c>
      <c r="C21" t="s">
        <v>28</v>
      </c>
      <c r="D21" t="s">
        <v>29</v>
      </c>
      <c r="E21" t="s">
        <v>30</v>
      </c>
      <c r="F21">
        <v>100063196</v>
      </c>
      <c r="G21" t="s">
        <v>31</v>
      </c>
      <c r="H21" t="s">
        <v>29</v>
      </c>
      <c r="I21" t="s">
        <v>30</v>
      </c>
      <c r="J21">
        <v>10028760</v>
      </c>
      <c r="K21" t="s">
        <v>37</v>
      </c>
      <c r="L21" t="str">
        <f t="shared" si="1"/>
        <v>55513002801</v>
      </c>
      <c r="M21">
        <v>50001118</v>
      </c>
      <c r="N21" t="s">
        <v>38</v>
      </c>
      <c r="O21" t="str">
        <f>"0938557625"</f>
        <v>0938557625</v>
      </c>
      <c r="P21" s="1">
        <v>43272</v>
      </c>
      <c r="Q21">
        <v>3000015869</v>
      </c>
      <c r="R21" t="s">
        <v>39</v>
      </c>
      <c r="S21">
        <v>1</v>
      </c>
      <c r="T21">
        <v>524.45000000000005</v>
      </c>
      <c r="U21">
        <v>520.62</v>
      </c>
      <c r="V21">
        <v>524.45000000000005</v>
      </c>
      <c r="W21">
        <v>520.62</v>
      </c>
      <c r="X21">
        <v>1367.05</v>
      </c>
      <c r="Y21">
        <v>1367.05</v>
      </c>
      <c r="Z21" s="2">
        <v>-842.6</v>
      </c>
      <c r="AA21">
        <v>-846.43</v>
      </c>
    </row>
    <row r="22" spans="2:27" x14ac:dyDescent="0.25">
      <c r="B22">
        <v>100084829</v>
      </c>
      <c r="C22" t="s">
        <v>28</v>
      </c>
      <c r="D22" t="s">
        <v>29</v>
      </c>
      <c r="E22" t="s">
        <v>30</v>
      </c>
      <c r="F22">
        <v>100063196</v>
      </c>
      <c r="G22" t="s">
        <v>31</v>
      </c>
      <c r="H22" t="s">
        <v>29</v>
      </c>
      <c r="I22" t="s">
        <v>30</v>
      </c>
      <c r="J22">
        <v>10028760</v>
      </c>
      <c r="K22" t="s">
        <v>37</v>
      </c>
      <c r="L22" t="str">
        <f t="shared" si="1"/>
        <v>55513002801</v>
      </c>
      <c r="M22">
        <v>50001118</v>
      </c>
      <c r="N22" t="s">
        <v>38</v>
      </c>
      <c r="O22" t="str">
        <f>"0942276249"</f>
        <v>0942276249</v>
      </c>
      <c r="P22" s="1">
        <v>43356</v>
      </c>
      <c r="Q22">
        <v>4000000175</v>
      </c>
      <c r="R22" t="s">
        <v>34</v>
      </c>
      <c r="S22">
        <v>1</v>
      </c>
      <c r="T22">
        <v>520.62</v>
      </c>
      <c r="U22">
        <v>520.62</v>
      </c>
      <c r="V22">
        <v>520.62</v>
      </c>
      <c r="W22">
        <v>520.62</v>
      </c>
      <c r="X22">
        <v>1367.05</v>
      </c>
      <c r="Y22">
        <v>1367.05</v>
      </c>
      <c r="Z22" s="2">
        <v>-846.43</v>
      </c>
      <c r="AA22">
        <v>-846.43</v>
      </c>
    </row>
    <row r="23" spans="2:27" x14ac:dyDescent="0.25">
      <c r="B23">
        <v>100084829</v>
      </c>
      <c r="C23" t="s">
        <v>28</v>
      </c>
      <c r="D23" t="s">
        <v>29</v>
      </c>
      <c r="E23" t="s">
        <v>30</v>
      </c>
      <c r="F23">
        <v>100063196</v>
      </c>
      <c r="G23" t="s">
        <v>31</v>
      </c>
      <c r="H23" t="s">
        <v>29</v>
      </c>
      <c r="I23" t="s">
        <v>30</v>
      </c>
      <c r="J23">
        <v>10028760</v>
      </c>
      <c r="K23" t="s">
        <v>37</v>
      </c>
      <c r="L23" t="str">
        <f t="shared" si="1"/>
        <v>55513002801</v>
      </c>
      <c r="M23">
        <v>50001118</v>
      </c>
      <c r="N23" t="s">
        <v>38</v>
      </c>
      <c r="O23" t="str">
        <f>"0941375718"</f>
        <v>0941375718</v>
      </c>
      <c r="P23" s="1">
        <v>43335</v>
      </c>
      <c r="Q23">
        <v>4000000175</v>
      </c>
      <c r="R23" t="s">
        <v>34</v>
      </c>
      <c r="S23">
        <v>1</v>
      </c>
      <c r="T23">
        <v>520.62</v>
      </c>
      <c r="U23">
        <v>520.62</v>
      </c>
      <c r="V23">
        <v>520.62</v>
      </c>
      <c r="W23">
        <v>520.62</v>
      </c>
      <c r="X23">
        <v>1367.05</v>
      </c>
      <c r="Y23">
        <v>1367.05</v>
      </c>
      <c r="Z23" s="2">
        <v>-846.43</v>
      </c>
      <c r="AA23">
        <v>-846.43</v>
      </c>
    </row>
    <row r="24" spans="2:27" x14ac:dyDescent="0.25">
      <c r="B24">
        <v>100084829</v>
      </c>
      <c r="C24" t="s">
        <v>28</v>
      </c>
      <c r="D24" t="s">
        <v>29</v>
      </c>
      <c r="E24" t="s">
        <v>30</v>
      </c>
      <c r="F24">
        <v>100063196</v>
      </c>
      <c r="G24" t="s">
        <v>31</v>
      </c>
      <c r="H24" t="s">
        <v>29</v>
      </c>
      <c r="I24" t="s">
        <v>30</v>
      </c>
      <c r="J24">
        <v>10028760</v>
      </c>
      <c r="K24" t="s">
        <v>37</v>
      </c>
      <c r="L24" t="str">
        <f t="shared" si="1"/>
        <v>55513002801</v>
      </c>
      <c r="M24">
        <v>50001118</v>
      </c>
      <c r="N24" t="s">
        <v>38</v>
      </c>
      <c r="O24" t="str">
        <f>"0939784452"</f>
        <v>0939784452</v>
      </c>
      <c r="P24" s="1">
        <v>43300</v>
      </c>
      <c r="Q24">
        <v>4000000175</v>
      </c>
      <c r="R24" t="s">
        <v>34</v>
      </c>
      <c r="S24">
        <v>1</v>
      </c>
      <c r="T24">
        <v>520.62</v>
      </c>
      <c r="U24">
        <v>520.62</v>
      </c>
      <c r="V24">
        <v>520.62</v>
      </c>
      <c r="W24">
        <v>520.62</v>
      </c>
      <c r="X24">
        <v>1367.05</v>
      </c>
      <c r="Y24">
        <v>1367.05</v>
      </c>
      <c r="Z24" s="2">
        <v>-846.43</v>
      </c>
      <c r="AA24">
        <v>-846.43</v>
      </c>
    </row>
    <row r="25" spans="2:27" x14ac:dyDescent="0.25">
      <c r="B25">
        <v>100084829</v>
      </c>
      <c r="C25" t="s">
        <v>28</v>
      </c>
      <c r="D25" t="s">
        <v>29</v>
      </c>
      <c r="E25" t="s">
        <v>30</v>
      </c>
      <c r="F25">
        <v>100063196</v>
      </c>
      <c r="G25" t="s">
        <v>31</v>
      </c>
      <c r="H25" t="s">
        <v>29</v>
      </c>
      <c r="I25" t="s">
        <v>30</v>
      </c>
      <c r="J25">
        <v>10028760</v>
      </c>
      <c r="K25" t="s">
        <v>37</v>
      </c>
      <c r="L25" t="str">
        <f t="shared" si="1"/>
        <v>55513002801</v>
      </c>
      <c r="M25">
        <v>50001118</v>
      </c>
      <c r="N25" t="s">
        <v>38</v>
      </c>
      <c r="O25" t="str">
        <f>"0934388321"</f>
        <v>0934388321</v>
      </c>
      <c r="P25" s="1">
        <v>43181</v>
      </c>
      <c r="Q25">
        <v>3000015869</v>
      </c>
      <c r="R25" t="s">
        <v>39</v>
      </c>
      <c r="S25">
        <v>1</v>
      </c>
      <c r="T25">
        <v>556.64</v>
      </c>
      <c r="U25">
        <v>520.62</v>
      </c>
      <c r="V25">
        <v>556.64</v>
      </c>
      <c r="W25">
        <v>520.62</v>
      </c>
      <c r="X25">
        <v>1367.05</v>
      </c>
      <c r="Y25">
        <v>1367.05</v>
      </c>
      <c r="Z25" s="2">
        <v>-810.41</v>
      </c>
      <c r="AA25">
        <v>-846.43</v>
      </c>
    </row>
    <row r="26" spans="2:27" x14ac:dyDescent="0.25">
      <c r="B26">
        <v>100084829</v>
      </c>
      <c r="C26" t="s">
        <v>28</v>
      </c>
      <c r="D26" t="s">
        <v>29</v>
      </c>
      <c r="E26" t="s">
        <v>30</v>
      </c>
      <c r="F26">
        <v>100063196</v>
      </c>
      <c r="G26" t="s">
        <v>31</v>
      </c>
      <c r="H26" t="s">
        <v>29</v>
      </c>
      <c r="I26" t="s">
        <v>30</v>
      </c>
      <c r="J26">
        <v>10028760</v>
      </c>
      <c r="K26" t="s">
        <v>37</v>
      </c>
      <c r="L26" t="str">
        <f t="shared" si="1"/>
        <v>55513002801</v>
      </c>
      <c r="M26">
        <v>50001118</v>
      </c>
      <c r="N26" t="s">
        <v>38</v>
      </c>
      <c r="O26" t="str">
        <f>"0946712785"</f>
        <v>0946712785</v>
      </c>
      <c r="P26" s="1">
        <v>43454</v>
      </c>
      <c r="Q26">
        <v>3000015869</v>
      </c>
      <c r="R26" t="s">
        <v>39</v>
      </c>
      <c r="S26">
        <v>1</v>
      </c>
      <c r="T26">
        <v>520.62</v>
      </c>
      <c r="U26">
        <v>520.62</v>
      </c>
      <c r="V26">
        <v>520.62</v>
      </c>
      <c r="W26">
        <v>520.62</v>
      </c>
      <c r="X26">
        <v>1367.05</v>
      </c>
      <c r="Y26">
        <v>1367.05</v>
      </c>
      <c r="Z26" s="2">
        <v>-846.43</v>
      </c>
      <c r="AA26">
        <v>-846.43</v>
      </c>
    </row>
    <row r="27" spans="2:27" x14ac:dyDescent="0.25">
      <c r="B27">
        <v>100084829</v>
      </c>
      <c r="C27" t="s">
        <v>28</v>
      </c>
      <c r="D27" t="s">
        <v>29</v>
      </c>
      <c r="E27" t="s">
        <v>30</v>
      </c>
      <c r="F27">
        <v>100063196</v>
      </c>
      <c r="G27" t="s">
        <v>31</v>
      </c>
      <c r="H27" t="s">
        <v>29</v>
      </c>
      <c r="I27" t="s">
        <v>30</v>
      </c>
      <c r="J27">
        <v>10028760</v>
      </c>
      <c r="K27" t="s">
        <v>37</v>
      </c>
      <c r="L27" t="str">
        <f t="shared" si="1"/>
        <v>55513002801</v>
      </c>
      <c r="M27">
        <v>50001118</v>
      </c>
      <c r="N27" t="s">
        <v>38</v>
      </c>
      <c r="O27" t="str">
        <f>"0945143150"</f>
        <v>0945143150</v>
      </c>
      <c r="P27" s="1">
        <v>43419</v>
      </c>
      <c r="Q27">
        <v>3000015869</v>
      </c>
      <c r="R27" t="s">
        <v>39</v>
      </c>
      <c r="S27">
        <v>1</v>
      </c>
      <c r="T27">
        <v>520.62</v>
      </c>
      <c r="U27">
        <v>520.62</v>
      </c>
      <c r="V27">
        <v>520.62</v>
      </c>
      <c r="W27">
        <v>520.62</v>
      </c>
      <c r="X27">
        <v>1367.05</v>
      </c>
      <c r="Y27">
        <v>1367.05</v>
      </c>
      <c r="Z27" s="2">
        <v>-846.43</v>
      </c>
      <c r="AA27">
        <v>-846.43</v>
      </c>
    </row>
    <row r="28" spans="2:27" x14ac:dyDescent="0.25">
      <c r="B28">
        <v>100084829</v>
      </c>
      <c r="C28" t="s">
        <v>28</v>
      </c>
      <c r="D28" t="s">
        <v>29</v>
      </c>
      <c r="E28" t="s">
        <v>30</v>
      </c>
      <c r="F28">
        <v>100063196</v>
      </c>
      <c r="G28" t="s">
        <v>31</v>
      </c>
      <c r="H28" t="s">
        <v>29</v>
      </c>
      <c r="I28" t="s">
        <v>30</v>
      </c>
      <c r="J28">
        <v>10028760</v>
      </c>
      <c r="K28" t="s">
        <v>37</v>
      </c>
      <c r="L28" t="str">
        <f t="shared" si="1"/>
        <v>55513002801</v>
      </c>
      <c r="M28">
        <v>50001118</v>
      </c>
      <c r="N28" t="s">
        <v>38</v>
      </c>
      <c r="O28" t="str">
        <f>"0937922322"</f>
        <v>0937922322</v>
      </c>
      <c r="P28" s="1">
        <v>43258</v>
      </c>
      <c r="Q28">
        <v>3000015869</v>
      </c>
      <c r="R28" t="s">
        <v>39</v>
      </c>
      <c r="S28">
        <v>1</v>
      </c>
      <c r="T28">
        <v>524.45000000000005</v>
      </c>
      <c r="U28">
        <v>520.62</v>
      </c>
      <c r="V28">
        <v>524.45000000000005</v>
      </c>
      <c r="W28">
        <v>520.62</v>
      </c>
      <c r="X28">
        <v>1367.05</v>
      </c>
      <c r="Y28">
        <v>1367.05</v>
      </c>
      <c r="Z28" s="2">
        <v>-842.6</v>
      </c>
      <c r="AA28">
        <v>-846.43</v>
      </c>
    </row>
    <row r="29" spans="2:27" x14ac:dyDescent="0.25">
      <c r="B29">
        <v>100084829</v>
      </c>
      <c r="C29" t="s">
        <v>28</v>
      </c>
      <c r="D29" t="s">
        <v>29</v>
      </c>
      <c r="E29" t="s">
        <v>30</v>
      </c>
      <c r="F29">
        <v>100063196</v>
      </c>
      <c r="G29" t="s">
        <v>31</v>
      </c>
      <c r="H29" t="s">
        <v>29</v>
      </c>
      <c r="I29" t="s">
        <v>30</v>
      </c>
      <c r="J29">
        <v>10030884</v>
      </c>
      <c r="K29" t="s">
        <v>40</v>
      </c>
      <c r="L29" t="str">
        <f>"55513011101"</f>
        <v>55513011101</v>
      </c>
      <c r="M29">
        <v>50001118</v>
      </c>
      <c r="N29" t="s">
        <v>38</v>
      </c>
      <c r="O29" t="str">
        <f>"0939784452"</f>
        <v>0939784452</v>
      </c>
      <c r="P29" s="1">
        <v>43300</v>
      </c>
      <c r="Q29">
        <v>4000000175</v>
      </c>
      <c r="R29" t="s">
        <v>34</v>
      </c>
      <c r="S29">
        <v>1</v>
      </c>
      <c r="T29">
        <v>780.93</v>
      </c>
      <c r="U29">
        <v>780.93</v>
      </c>
      <c r="V29">
        <v>780.93</v>
      </c>
      <c r="W29">
        <v>780.93</v>
      </c>
      <c r="X29">
        <v>2050.5700000000002</v>
      </c>
      <c r="Y29">
        <v>2050.5700000000002</v>
      </c>
      <c r="Z29" s="2">
        <v>-1269.6400000000001</v>
      </c>
      <c r="AA29">
        <v>-1269.6400000000001</v>
      </c>
    </row>
    <row r="30" spans="2:27" x14ac:dyDescent="0.25">
      <c r="B30">
        <v>100084829</v>
      </c>
      <c r="C30" t="s">
        <v>28</v>
      </c>
      <c r="D30" t="s">
        <v>29</v>
      </c>
      <c r="E30" t="s">
        <v>30</v>
      </c>
      <c r="F30">
        <v>100063196</v>
      </c>
      <c r="G30" t="s">
        <v>31</v>
      </c>
      <c r="H30" t="s">
        <v>29</v>
      </c>
      <c r="I30" t="s">
        <v>30</v>
      </c>
      <c r="J30">
        <v>10029082</v>
      </c>
      <c r="K30" t="s">
        <v>41</v>
      </c>
      <c r="L30" t="str">
        <f>"55513002104"</f>
        <v>55513002104</v>
      </c>
      <c r="M30">
        <v>50001118</v>
      </c>
      <c r="N30" t="s">
        <v>38</v>
      </c>
      <c r="O30" t="str">
        <f>"0938375758"</f>
        <v>0938375758</v>
      </c>
      <c r="P30" s="1">
        <v>43269</v>
      </c>
      <c r="Q30">
        <v>3000015869</v>
      </c>
      <c r="R30" t="s">
        <v>39</v>
      </c>
      <c r="S30">
        <v>1</v>
      </c>
      <c r="T30">
        <v>374.96</v>
      </c>
      <c r="U30">
        <v>375.88</v>
      </c>
      <c r="V30">
        <v>374.96</v>
      </c>
      <c r="W30">
        <v>375.88</v>
      </c>
      <c r="X30">
        <v>1093.6400000000001</v>
      </c>
      <c r="Y30">
        <v>1093.6400000000001</v>
      </c>
      <c r="Z30" s="2">
        <v>-718.68</v>
      </c>
      <c r="AA30">
        <v>-717.76</v>
      </c>
    </row>
    <row r="31" spans="2:27" x14ac:dyDescent="0.25">
      <c r="B31">
        <v>100084829</v>
      </c>
      <c r="C31" t="s">
        <v>28</v>
      </c>
      <c r="D31" t="s">
        <v>29</v>
      </c>
      <c r="E31" t="s">
        <v>30</v>
      </c>
      <c r="F31">
        <v>100063196</v>
      </c>
      <c r="G31" t="s">
        <v>31</v>
      </c>
      <c r="H31" t="s">
        <v>29</v>
      </c>
      <c r="I31" t="s">
        <v>30</v>
      </c>
      <c r="J31">
        <v>10029082</v>
      </c>
      <c r="K31" t="s">
        <v>41</v>
      </c>
      <c r="L31" t="str">
        <f>"55513002104"</f>
        <v>55513002104</v>
      </c>
      <c r="M31">
        <v>50001118</v>
      </c>
      <c r="N31" t="s">
        <v>38</v>
      </c>
      <c r="O31" t="str">
        <f>"0931609309"</f>
        <v>0931609309</v>
      </c>
      <c r="P31" s="1">
        <v>43129</v>
      </c>
      <c r="Q31">
        <v>3000015869</v>
      </c>
      <c r="R31" t="s">
        <v>39</v>
      </c>
      <c r="S31">
        <v>1</v>
      </c>
      <c r="T31">
        <v>407.85</v>
      </c>
      <c r="U31">
        <v>375.88</v>
      </c>
      <c r="V31">
        <v>407.85</v>
      </c>
      <c r="W31">
        <v>375.88</v>
      </c>
      <c r="X31">
        <v>1093.6400000000001</v>
      </c>
      <c r="Y31">
        <v>1093.6400000000001</v>
      </c>
      <c r="Z31" s="2">
        <v>-685.79</v>
      </c>
      <c r="AA31">
        <v>-717.76</v>
      </c>
    </row>
    <row r="32" spans="2:27" x14ac:dyDescent="0.25">
      <c r="B32">
        <v>100084829</v>
      </c>
      <c r="C32" t="s">
        <v>28</v>
      </c>
      <c r="D32" t="s">
        <v>29</v>
      </c>
      <c r="E32" t="s">
        <v>30</v>
      </c>
      <c r="F32">
        <v>100063196</v>
      </c>
      <c r="G32" t="s">
        <v>31</v>
      </c>
      <c r="H32" t="s">
        <v>29</v>
      </c>
      <c r="I32" t="s">
        <v>30</v>
      </c>
      <c r="J32">
        <v>10035754</v>
      </c>
      <c r="K32" t="s">
        <v>42</v>
      </c>
      <c r="L32" t="str">
        <f>"55513002304"</f>
        <v>55513002304</v>
      </c>
      <c r="M32">
        <v>50001118</v>
      </c>
      <c r="N32" t="s">
        <v>38</v>
      </c>
      <c r="O32" t="str">
        <f>"0944202879"</f>
        <v>0944202879</v>
      </c>
      <c r="P32" s="1">
        <v>43398</v>
      </c>
      <c r="Q32">
        <v>3000015869</v>
      </c>
      <c r="R32" t="s">
        <v>39</v>
      </c>
      <c r="S32">
        <v>1</v>
      </c>
      <c r="T32">
        <v>589.52</v>
      </c>
      <c r="U32">
        <v>602.29</v>
      </c>
      <c r="V32">
        <v>589.52</v>
      </c>
      <c r="W32">
        <v>602.29</v>
      </c>
      <c r="X32">
        <v>1640.46</v>
      </c>
      <c r="Y32">
        <v>1640.46</v>
      </c>
      <c r="Z32" s="2">
        <v>-1050.94</v>
      </c>
      <c r="AA32">
        <v>-1038.17</v>
      </c>
    </row>
    <row r="33" spans="2:27" x14ac:dyDescent="0.25">
      <c r="B33">
        <v>100084829</v>
      </c>
      <c r="C33" t="s">
        <v>28</v>
      </c>
      <c r="D33" t="s">
        <v>29</v>
      </c>
      <c r="E33" t="s">
        <v>30</v>
      </c>
      <c r="F33">
        <v>100063196</v>
      </c>
      <c r="G33" t="s">
        <v>31</v>
      </c>
      <c r="H33" t="s">
        <v>29</v>
      </c>
      <c r="I33" t="s">
        <v>30</v>
      </c>
      <c r="J33">
        <v>10020658</v>
      </c>
      <c r="K33" t="s">
        <v>43</v>
      </c>
      <c r="L33" t="str">
        <f t="shared" ref="L33:L44" si="2">"00009041701"</f>
        <v>00009041701</v>
      </c>
      <c r="M33">
        <v>50001813</v>
      </c>
      <c r="N33" t="s">
        <v>44</v>
      </c>
      <c r="O33" t="str">
        <f>"0937011851"</f>
        <v>0937011851</v>
      </c>
      <c r="P33" s="1">
        <v>43237</v>
      </c>
      <c r="Q33">
        <v>4000001249</v>
      </c>
      <c r="R33" t="s">
        <v>45</v>
      </c>
      <c r="S33">
        <v>5</v>
      </c>
      <c r="T33">
        <v>3.44</v>
      </c>
      <c r="U33">
        <v>2.96</v>
      </c>
      <c r="V33">
        <v>17.2</v>
      </c>
      <c r="W33">
        <v>14.8</v>
      </c>
      <c r="X33">
        <v>8.74</v>
      </c>
      <c r="Y33">
        <v>43.7</v>
      </c>
      <c r="Z33" s="2">
        <v>-26.5</v>
      </c>
      <c r="AA33">
        <v>-28.9</v>
      </c>
    </row>
    <row r="34" spans="2:27" x14ac:dyDescent="0.25">
      <c r="B34">
        <v>100084829</v>
      </c>
      <c r="C34" t="s">
        <v>28</v>
      </c>
      <c r="D34" t="s">
        <v>29</v>
      </c>
      <c r="E34" t="s">
        <v>30</v>
      </c>
      <c r="F34">
        <v>100063196</v>
      </c>
      <c r="G34" t="s">
        <v>31</v>
      </c>
      <c r="H34" t="s">
        <v>29</v>
      </c>
      <c r="I34" t="s">
        <v>30</v>
      </c>
      <c r="J34">
        <v>10020658</v>
      </c>
      <c r="K34" t="s">
        <v>43</v>
      </c>
      <c r="L34" t="str">
        <f t="shared" si="2"/>
        <v>00009041701</v>
      </c>
      <c r="M34">
        <v>50001813</v>
      </c>
      <c r="N34" t="s">
        <v>44</v>
      </c>
      <c r="O34" t="str">
        <f>"0930769141"</f>
        <v>0930769141</v>
      </c>
      <c r="P34" s="1">
        <v>43111</v>
      </c>
      <c r="Q34">
        <v>4000000519</v>
      </c>
      <c r="R34" t="s">
        <v>46</v>
      </c>
      <c r="S34">
        <v>9</v>
      </c>
      <c r="T34">
        <v>4.96</v>
      </c>
      <c r="U34">
        <v>2.96</v>
      </c>
      <c r="V34">
        <v>44.64</v>
      </c>
      <c r="W34">
        <v>26.64</v>
      </c>
      <c r="X34">
        <v>8.74</v>
      </c>
      <c r="Y34">
        <v>78.66</v>
      </c>
      <c r="Z34" s="2">
        <v>-34.020000000000003</v>
      </c>
      <c r="AA34">
        <v>-52.02</v>
      </c>
    </row>
    <row r="35" spans="2:27" x14ac:dyDescent="0.25">
      <c r="B35">
        <v>100084829</v>
      </c>
      <c r="C35" t="s">
        <v>28</v>
      </c>
      <c r="D35" t="s">
        <v>29</v>
      </c>
      <c r="E35" t="s">
        <v>30</v>
      </c>
      <c r="F35">
        <v>100063196</v>
      </c>
      <c r="G35" t="s">
        <v>31</v>
      </c>
      <c r="H35" t="s">
        <v>29</v>
      </c>
      <c r="I35" t="s">
        <v>30</v>
      </c>
      <c r="J35">
        <v>10020658</v>
      </c>
      <c r="K35" t="s">
        <v>43</v>
      </c>
      <c r="L35" t="str">
        <f t="shared" si="2"/>
        <v>00009041701</v>
      </c>
      <c r="M35">
        <v>50001813</v>
      </c>
      <c r="N35" t="s">
        <v>44</v>
      </c>
      <c r="O35" t="str">
        <f>"0936193841"</f>
        <v>0936193841</v>
      </c>
      <c r="P35" s="1">
        <v>43220</v>
      </c>
      <c r="Q35">
        <v>4000001249</v>
      </c>
      <c r="R35" t="s">
        <v>45</v>
      </c>
      <c r="S35">
        <v>8</v>
      </c>
      <c r="T35">
        <v>3.44</v>
      </c>
      <c r="U35">
        <v>2.96</v>
      </c>
      <c r="V35">
        <v>27.52</v>
      </c>
      <c r="W35">
        <v>23.68</v>
      </c>
      <c r="X35">
        <v>8.74</v>
      </c>
      <c r="Y35">
        <v>69.92</v>
      </c>
      <c r="Z35" s="2">
        <v>-42.4</v>
      </c>
      <c r="AA35">
        <v>-46.24</v>
      </c>
    </row>
    <row r="36" spans="2:27" x14ac:dyDescent="0.25">
      <c r="B36">
        <v>100084829</v>
      </c>
      <c r="C36" t="s">
        <v>28</v>
      </c>
      <c r="D36" t="s">
        <v>29</v>
      </c>
      <c r="E36" t="s">
        <v>30</v>
      </c>
      <c r="F36">
        <v>100063196</v>
      </c>
      <c r="G36" t="s">
        <v>31</v>
      </c>
      <c r="H36" t="s">
        <v>29</v>
      </c>
      <c r="I36" t="s">
        <v>30</v>
      </c>
      <c r="J36">
        <v>10020658</v>
      </c>
      <c r="K36" t="s">
        <v>43</v>
      </c>
      <c r="L36" t="str">
        <f t="shared" si="2"/>
        <v>00009041701</v>
      </c>
      <c r="M36">
        <v>50001813</v>
      </c>
      <c r="N36" t="s">
        <v>44</v>
      </c>
      <c r="O36" t="str">
        <f>"0937601907"</f>
        <v>0937601907</v>
      </c>
      <c r="P36" s="1">
        <v>43251</v>
      </c>
      <c r="Q36">
        <v>4000001249</v>
      </c>
      <c r="R36" t="s">
        <v>45</v>
      </c>
      <c r="S36">
        <v>5</v>
      </c>
      <c r="T36">
        <v>3.44</v>
      </c>
      <c r="U36">
        <v>2.96</v>
      </c>
      <c r="V36">
        <v>17.2</v>
      </c>
      <c r="W36">
        <v>14.8</v>
      </c>
      <c r="X36">
        <v>8.74</v>
      </c>
      <c r="Y36">
        <v>43.7</v>
      </c>
      <c r="Z36" s="2">
        <v>-26.5</v>
      </c>
      <c r="AA36">
        <v>-28.9</v>
      </c>
    </row>
    <row r="37" spans="2:27" x14ac:dyDescent="0.25">
      <c r="B37">
        <v>100084829</v>
      </c>
      <c r="C37" t="s">
        <v>28</v>
      </c>
      <c r="D37" t="s">
        <v>29</v>
      </c>
      <c r="E37" t="s">
        <v>30</v>
      </c>
      <c r="F37">
        <v>100063196</v>
      </c>
      <c r="G37" t="s">
        <v>31</v>
      </c>
      <c r="H37" t="s">
        <v>29</v>
      </c>
      <c r="I37" t="s">
        <v>30</v>
      </c>
      <c r="J37">
        <v>10020658</v>
      </c>
      <c r="K37" t="s">
        <v>43</v>
      </c>
      <c r="L37" t="str">
        <f t="shared" si="2"/>
        <v>00009041701</v>
      </c>
      <c r="M37">
        <v>50001813</v>
      </c>
      <c r="N37" t="s">
        <v>44</v>
      </c>
      <c r="O37" t="str">
        <f>"0931449041"</f>
        <v>0931449041</v>
      </c>
      <c r="P37" s="1">
        <v>43125</v>
      </c>
      <c r="Q37">
        <v>4000000519</v>
      </c>
      <c r="R37" t="s">
        <v>46</v>
      </c>
      <c r="S37">
        <v>2</v>
      </c>
      <c r="T37">
        <v>4.96</v>
      </c>
      <c r="U37">
        <v>2.96</v>
      </c>
      <c r="V37">
        <v>9.92</v>
      </c>
      <c r="W37">
        <v>5.92</v>
      </c>
      <c r="X37">
        <v>8.74</v>
      </c>
      <c r="Y37">
        <v>17.48</v>
      </c>
      <c r="Z37" s="2">
        <v>-7.56</v>
      </c>
      <c r="AA37">
        <v>-11.56</v>
      </c>
    </row>
    <row r="38" spans="2:27" x14ac:dyDescent="0.25">
      <c r="B38">
        <v>100084829</v>
      </c>
      <c r="C38" t="s">
        <v>28</v>
      </c>
      <c r="D38" t="s">
        <v>29</v>
      </c>
      <c r="E38" t="s">
        <v>30</v>
      </c>
      <c r="F38">
        <v>100063196</v>
      </c>
      <c r="G38" t="s">
        <v>31</v>
      </c>
      <c r="H38" t="s">
        <v>29</v>
      </c>
      <c r="I38" t="s">
        <v>30</v>
      </c>
      <c r="J38">
        <v>10020658</v>
      </c>
      <c r="K38" t="s">
        <v>43</v>
      </c>
      <c r="L38" t="str">
        <f t="shared" si="2"/>
        <v>00009041701</v>
      </c>
      <c r="M38">
        <v>50001813</v>
      </c>
      <c r="N38" t="s">
        <v>44</v>
      </c>
      <c r="O38" t="str">
        <f>"0935077727"</f>
        <v>0935077727</v>
      </c>
      <c r="P38" s="1">
        <v>43195</v>
      </c>
      <c r="Q38">
        <v>4000001249</v>
      </c>
      <c r="R38" t="s">
        <v>45</v>
      </c>
      <c r="S38">
        <v>5</v>
      </c>
      <c r="T38">
        <v>3.44</v>
      </c>
      <c r="U38">
        <v>2.96</v>
      </c>
      <c r="V38">
        <v>17.2</v>
      </c>
      <c r="W38">
        <v>14.8</v>
      </c>
      <c r="X38">
        <v>8.74</v>
      </c>
      <c r="Y38">
        <v>43.7</v>
      </c>
      <c r="Z38" s="2">
        <v>-26.5</v>
      </c>
      <c r="AA38">
        <v>-28.9</v>
      </c>
    </row>
    <row r="39" spans="2:27" x14ac:dyDescent="0.25">
      <c r="B39">
        <v>100084829</v>
      </c>
      <c r="C39" t="s">
        <v>28</v>
      </c>
      <c r="D39" t="s">
        <v>29</v>
      </c>
      <c r="E39" t="s">
        <v>30</v>
      </c>
      <c r="F39">
        <v>100063196</v>
      </c>
      <c r="G39" t="s">
        <v>31</v>
      </c>
      <c r="H39" t="s">
        <v>29</v>
      </c>
      <c r="I39" t="s">
        <v>30</v>
      </c>
      <c r="J39">
        <v>10020658</v>
      </c>
      <c r="K39" t="s">
        <v>43</v>
      </c>
      <c r="L39" t="str">
        <f t="shared" si="2"/>
        <v>00009041701</v>
      </c>
      <c r="M39">
        <v>50001813</v>
      </c>
      <c r="N39" t="s">
        <v>44</v>
      </c>
      <c r="O39" t="str">
        <f>"0946973462"</f>
        <v>0946973462</v>
      </c>
      <c r="P39" s="1">
        <v>43461</v>
      </c>
      <c r="Q39">
        <v>4000001249</v>
      </c>
      <c r="R39" t="s">
        <v>45</v>
      </c>
      <c r="S39">
        <v>7</v>
      </c>
      <c r="T39">
        <v>1.92</v>
      </c>
      <c r="U39">
        <v>2.96</v>
      </c>
      <c r="V39">
        <v>13.44</v>
      </c>
      <c r="W39">
        <v>20.72</v>
      </c>
      <c r="X39">
        <v>8.74</v>
      </c>
      <c r="Y39">
        <v>61.18</v>
      </c>
      <c r="Z39" s="2">
        <v>-47.74</v>
      </c>
      <c r="AA39">
        <v>-40.46</v>
      </c>
    </row>
    <row r="40" spans="2:27" x14ac:dyDescent="0.25">
      <c r="B40">
        <v>100084829</v>
      </c>
      <c r="C40" t="s">
        <v>28</v>
      </c>
      <c r="D40" t="s">
        <v>29</v>
      </c>
      <c r="E40" t="s">
        <v>30</v>
      </c>
      <c r="F40">
        <v>100063196</v>
      </c>
      <c r="G40" t="s">
        <v>31</v>
      </c>
      <c r="H40" t="s">
        <v>29</v>
      </c>
      <c r="I40" t="s">
        <v>30</v>
      </c>
      <c r="J40">
        <v>10020658</v>
      </c>
      <c r="K40" t="s">
        <v>43</v>
      </c>
      <c r="L40" t="str">
        <f t="shared" si="2"/>
        <v>00009041701</v>
      </c>
      <c r="M40">
        <v>50001813</v>
      </c>
      <c r="N40" t="s">
        <v>44</v>
      </c>
      <c r="O40" t="str">
        <f>"0942100471"</f>
        <v>0942100471</v>
      </c>
      <c r="P40" s="1">
        <v>43353</v>
      </c>
      <c r="Q40">
        <v>4000001249</v>
      </c>
      <c r="R40" t="s">
        <v>45</v>
      </c>
      <c r="S40">
        <v>9</v>
      </c>
      <c r="T40">
        <v>2.0099999999999998</v>
      </c>
      <c r="U40">
        <v>2.96</v>
      </c>
      <c r="V40">
        <v>18.09</v>
      </c>
      <c r="W40">
        <v>26.64</v>
      </c>
      <c r="X40">
        <v>8.74</v>
      </c>
      <c r="Y40">
        <v>78.66</v>
      </c>
      <c r="Z40" s="2">
        <v>-60.57</v>
      </c>
      <c r="AA40">
        <v>-52.02</v>
      </c>
    </row>
    <row r="41" spans="2:27" x14ac:dyDescent="0.25">
      <c r="B41">
        <v>100084829</v>
      </c>
      <c r="C41" t="s">
        <v>28</v>
      </c>
      <c r="D41" t="s">
        <v>29</v>
      </c>
      <c r="E41" t="s">
        <v>30</v>
      </c>
      <c r="F41">
        <v>100063196</v>
      </c>
      <c r="G41" t="s">
        <v>31</v>
      </c>
      <c r="H41" t="s">
        <v>29</v>
      </c>
      <c r="I41" t="s">
        <v>30</v>
      </c>
      <c r="J41">
        <v>10020658</v>
      </c>
      <c r="K41" t="s">
        <v>43</v>
      </c>
      <c r="L41" t="str">
        <f t="shared" si="2"/>
        <v>00009041701</v>
      </c>
      <c r="M41">
        <v>50001813</v>
      </c>
      <c r="N41" t="s">
        <v>44</v>
      </c>
      <c r="O41" t="str">
        <f>"0934168845"</f>
        <v>0934168845</v>
      </c>
      <c r="P41" s="1">
        <v>43178</v>
      </c>
      <c r="Q41">
        <v>4000000519</v>
      </c>
      <c r="R41" t="s">
        <v>46</v>
      </c>
      <c r="S41">
        <v>7</v>
      </c>
      <c r="T41">
        <v>4.95</v>
      </c>
      <c r="U41">
        <v>2.96</v>
      </c>
      <c r="V41">
        <v>34.65</v>
      </c>
      <c r="W41">
        <v>20.72</v>
      </c>
      <c r="X41">
        <v>8.74</v>
      </c>
      <c r="Y41">
        <v>61.18</v>
      </c>
      <c r="Z41" s="2">
        <v>-26.53</v>
      </c>
      <c r="AA41">
        <v>-40.46</v>
      </c>
    </row>
    <row r="42" spans="2:27" x14ac:dyDescent="0.25">
      <c r="B42">
        <v>100084829</v>
      </c>
      <c r="C42" t="s">
        <v>28</v>
      </c>
      <c r="D42" t="s">
        <v>29</v>
      </c>
      <c r="E42" t="s">
        <v>30</v>
      </c>
      <c r="F42">
        <v>100063196</v>
      </c>
      <c r="G42" t="s">
        <v>31</v>
      </c>
      <c r="H42" t="s">
        <v>29</v>
      </c>
      <c r="I42" t="s">
        <v>30</v>
      </c>
      <c r="J42">
        <v>10020658</v>
      </c>
      <c r="K42" t="s">
        <v>43</v>
      </c>
      <c r="L42" t="str">
        <f t="shared" si="2"/>
        <v>00009041701</v>
      </c>
      <c r="M42">
        <v>50001813</v>
      </c>
      <c r="N42" t="s">
        <v>44</v>
      </c>
      <c r="O42" t="str">
        <f>"0938878233"</f>
        <v>0938878233</v>
      </c>
      <c r="P42" s="1">
        <v>43279</v>
      </c>
      <c r="Q42">
        <v>4000001249</v>
      </c>
      <c r="R42" t="s">
        <v>45</v>
      </c>
      <c r="S42">
        <v>8</v>
      </c>
      <c r="T42">
        <v>3.44</v>
      </c>
      <c r="U42">
        <v>2.96</v>
      </c>
      <c r="V42">
        <v>27.52</v>
      </c>
      <c r="W42">
        <v>23.68</v>
      </c>
      <c r="X42">
        <v>8.74</v>
      </c>
      <c r="Y42">
        <v>69.92</v>
      </c>
      <c r="Z42" s="2">
        <v>-42.4</v>
      </c>
      <c r="AA42">
        <v>-46.24</v>
      </c>
    </row>
    <row r="43" spans="2:27" x14ac:dyDescent="0.25">
      <c r="B43">
        <v>100084829</v>
      </c>
      <c r="C43" t="s">
        <v>28</v>
      </c>
      <c r="D43" t="s">
        <v>29</v>
      </c>
      <c r="E43" t="s">
        <v>30</v>
      </c>
      <c r="F43">
        <v>100063196</v>
      </c>
      <c r="G43" t="s">
        <v>31</v>
      </c>
      <c r="H43" t="s">
        <v>29</v>
      </c>
      <c r="I43" t="s">
        <v>30</v>
      </c>
      <c r="J43">
        <v>10020658</v>
      </c>
      <c r="K43" t="s">
        <v>43</v>
      </c>
      <c r="L43" t="str">
        <f t="shared" si="2"/>
        <v>00009041701</v>
      </c>
      <c r="M43">
        <v>50001813</v>
      </c>
      <c r="N43" t="s">
        <v>44</v>
      </c>
      <c r="O43" t="str">
        <f>"0943385135"</f>
        <v>0943385135</v>
      </c>
      <c r="P43" s="1">
        <v>43381</v>
      </c>
      <c r="Q43">
        <v>4000001249</v>
      </c>
      <c r="R43" t="s">
        <v>45</v>
      </c>
      <c r="S43">
        <v>8</v>
      </c>
      <c r="T43">
        <v>1.92</v>
      </c>
      <c r="U43">
        <v>2.96</v>
      </c>
      <c r="V43">
        <v>15.36</v>
      </c>
      <c r="W43">
        <v>23.68</v>
      </c>
      <c r="X43">
        <v>8.74</v>
      </c>
      <c r="Y43">
        <v>69.92</v>
      </c>
      <c r="Z43" s="2">
        <v>-54.56</v>
      </c>
      <c r="AA43">
        <v>-46.24</v>
      </c>
    </row>
    <row r="44" spans="2:27" x14ac:dyDescent="0.25">
      <c r="B44">
        <v>100084829</v>
      </c>
      <c r="C44" t="s">
        <v>28</v>
      </c>
      <c r="D44" t="s">
        <v>29</v>
      </c>
      <c r="E44" t="s">
        <v>30</v>
      </c>
      <c r="F44">
        <v>100063196</v>
      </c>
      <c r="G44" t="s">
        <v>31</v>
      </c>
      <c r="H44" t="s">
        <v>29</v>
      </c>
      <c r="I44" t="s">
        <v>30</v>
      </c>
      <c r="J44">
        <v>10020658</v>
      </c>
      <c r="K44" t="s">
        <v>43</v>
      </c>
      <c r="L44" t="str">
        <f t="shared" si="2"/>
        <v>00009041701</v>
      </c>
      <c r="M44">
        <v>50001813</v>
      </c>
      <c r="N44" t="s">
        <v>44</v>
      </c>
      <c r="O44" t="str">
        <f>"0932174928"</f>
        <v>0932174928</v>
      </c>
      <c r="P44" s="1">
        <v>43139</v>
      </c>
      <c r="Q44">
        <v>4000000519</v>
      </c>
      <c r="R44" t="s">
        <v>46</v>
      </c>
      <c r="S44">
        <v>9</v>
      </c>
      <c r="T44">
        <v>4.95</v>
      </c>
      <c r="U44">
        <v>2.96</v>
      </c>
      <c r="V44">
        <v>44.55</v>
      </c>
      <c r="W44">
        <v>26.64</v>
      </c>
      <c r="X44">
        <v>8.74</v>
      </c>
      <c r="Y44">
        <v>78.66</v>
      </c>
      <c r="Z44" s="2">
        <v>-34.11</v>
      </c>
      <c r="AA44">
        <v>-52.02</v>
      </c>
    </row>
    <row r="45" spans="2:27" x14ac:dyDescent="0.25">
      <c r="B45">
        <v>100084829</v>
      </c>
      <c r="C45" t="s">
        <v>28</v>
      </c>
      <c r="D45" t="s">
        <v>29</v>
      </c>
      <c r="E45" t="s">
        <v>30</v>
      </c>
      <c r="F45">
        <v>100063196</v>
      </c>
      <c r="G45" t="s">
        <v>31</v>
      </c>
      <c r="H45" t="s">
        <v>29</v>
      </c>
      <c r="I45" t="s">
        <v>30</v>
      </c>
      <c r="J45">
        <v>10178339</v>
      </c>
      <c r="K45" t="s">
        <v>47</v>
      </c>
      <c r="L45" t="str">
        <f t="shared" ref="L45:L53" si="3">"00006306100"</f>
        <v>00006306100</v>
      </c>
      <c r="M45">
        <v>50000571</v>
      </c>
      <c r="N45" t="s">
        <v>48</v>
      </c>
      <c r="O45" t="str">
        <f>"0945333459"</f>
        <v>0945333459</v>
      </c>
      <c r="P45" s="1">
        <v>43423</v>
      </c>
      <c r="Q45">
        <v>4000000201</v>
      </c>
      <c r="R45" t="s">
        <v>49</v>
      </c>
      <c r="S45">
        <v>1</v>
      </c>
      <c r="T45">
        <v>193.26</v>
      </c>
      <c r="U45">
        <v>196.95</v>
      </c>
      <c r="V45">
        <v>193.26</v>
      </c>
      <c r="W45">
        <v>196.95</v>
      </c>
      <c r="X45">
        <v>307.77999999999997</v>
      </c>
      <c r="Y45">
        <v>307.77999999999997</v>
      </c>
      <c r="Z45" s="2">
        <v>-114.52</v>
      </c>
      <c r="AA45">
        <v>-110.83</v>
      </c>
    </row>
    <row r="46" spans="2:27" x14ac:dyDescent="0.25">
      <c r="B46">
        <v>100084829</v>
      </c>
      <c r="C46" t="s">
        <v>28</v>
      </c>
      <c r="D46" t="s">
        <v>29</v>
      </c>
      <c r="E46" t="s">
        <v>30</v>
      </c>
      <c r="F46">
        <v>100063196</v>
      </c>
      <c r="G46" t="s">
        <v>31</v>
      </c>
      <c r="H46" t="s">
        <v>29</v>
      </c>
      <c r="I46" t="s">
        <v>30</v>
      </c>
      <c r="J46">
        <v>10178339</v>
      </c>
      <c r="K46" t="s">
        <v>47</v>
      </c>
      <c r="L46" t="str">
        <f t="shared" si="3"/>
        <v>00006306100</v>
      </c>
      <c r="M46">
        <v>50000571</v>
      </c>
      <c r="N46" t="s">
        <v>48</v>
      </c>
      <c r="O46" t="str">
        <f>"0945870090"</f>
        <v>0945870090</v>
      </c>
      <c r="P46" s="1">
        <v>43437</v>
      </c>
      <c r="Q46">
        <v>4000000201</v>
      </c>
      <c r="R46" t="s">
        <v>49</v>
      </c>
      <c r="S46">
        <v>1</v>
      </c>
      <c r="T46">
        <v>193.26</v>
      </c>
      <c r="U46">
        <v>196.95</v>
      </c>
      <c r="V46">
        <v>193.26</v>
      </c>
      <c r="W46">
        <v>196.95</v>
      </c>
      <c r="X46">
        <v>307.77999999999997</v>
      </c>
      <c r="Y46">
        <v>307.77999999999997</v>
      </c>
      <c r="Z46" s="2">
        <v>-114.52</v>
      </c>
      <c r="AA46">
        <v>-110.83</v>
      </c>
    </row>
    <row r="47" spans="2:27" x14ac:dyDescent="0.25">
      <c r="B47">
        <v>100084829</v>
      </c>
      <c r="C47" t="s">
        <v>28</v>
      </c>
      <c r="D47" t="s">
        <v>29</v>
      </c>
      <c r="E47" t="s">
        <v>30</v>
      </c>
      <c r="F47">
        <v>100063196</v>
      </c>
      <c r="G47" t="s">
        <v>31</v>
      </c>
      <c r="H47" t="s">
        <v>29</v>
      </c>
      <c r="I47" t="s">
        <v>30</v>
      </c>
      <c r="J47">
        <v>10178339</v>
      </c>
      <c r="K47" t="s">
        <v>47</v>
      </c>
      <c r="L47" t="str">
        <f t="shared" si="3"/>
        <v>00006306100</v>
      </c>
      <c r="M47">
        <v>50000571</v>
      </c>
      <c r="N47" t="s">
        <v>48</v>
      </c>
      <c r="O47" t="str">
        <f>"0946395448"</f>
        <v>0946395448</v>
      </c>
      <c r="P47" s="1">
        <v>43447</v>
      </c>
      <c r="Q47">
        <v>4000000201</v>
      </c>
      <c r="R47" t="s">
        <v>49</v>
      </c>
      <c r="S47">
        <v>1</v>
      </c>
      <c r="T47">
        <v>193.26</v>
      </c>
      <c r="U47">
        <v>196.95</v>
      </c>
      <c r="V47">
        <v>193.26</v>
      </c>
      <c r="W47">
        <v>196.95</v>
      </c>
      <c r="X47">
        <v>307.77999999999997</v>
      </c>
      <c r="Y47">
        <v>307.77999999999997</v>
      </c>
      <c r="Z47" s="2">
        <v>-114.52</v>
      </c>
      <c r="AA47">
        <v>-110.83</v>
      </c>
    </row>
    <row r="48" spans="2:27" x14ac:dyDescent="0.25">
      <c r="B48">
        <v>100084829</v>
      </c>
      <c r="C48" t="s">
        <v>28</v>
      </c>
      <c r="D48" t="s">
        <v>29</v>
      </c>
      <c r="E48" t="s">
        <v>30</v>
      </c>
      <c r="F48">
        <v>100063196</v>
      </c>
      <c r="G48" t="s">
        <v>31</v>
      </c>
      <c r="H48" t="s">
        <v>29</v>
      </c>
      <c r="I48" t="s">
        <v>30</v>
      </c>
      <c r="J48">
        <v>10178339</v>
      </c>
      <c r="K48" t="s">
        <v>47</v>
      </c>
      <c r="L48" t="str">
        <f t="shared" si="3"/>
        <v>00006306100</v>
      </c>
      <c r="M48">
        <v>50000571</v>
      </c>
      <c r="N48" t="s">
        <v>48</v>
      </c>
      <c r="O48" t="str">
        <f>"0938055827"</f>
        <v>0938055827</v>
      </c>
      <c r="P48" s="1">
        <v>43262</v>
      </c>
      <c r="Q48">
        <v>4000001249</v>
      </c>
      <c r="R48" t="s">
        <v>45</v>
      </c>
      <c r="S48">
        <v>1</v>
      </c>
      <c r="T48">
        <v>194.15</v>
      </c>
      <c r="U48">
        <v>196.95</v>
      </c>
      <c r="V48">
        <v>194.15</v>
      </c>
      <c r="W48">
        <v>196.95</v>
      </c>
      <c r="X48">
        <v>307.77999999999997</v>
      </c>
      <c r="Y48">
        <v>307.77999999999997</v>
      </c>
      <c r="Z48" s="2">
        <v>-113.63</v>
      </c>
      <c r="AA48">
        <v>-110.83</v>
      </c>
    </row>
    <row r="49" spans="2:27" x14ac:dyDescent="0.25">
      <c r="B49">
        <v>100084829</v>
      </c>
      <c r="C49" t="s">
        <v>28</v>
      </c>
      <c r="D49" t="s">
        <v>29</v>
      </c>
      <c r="E49" t="s">
        <v>30</v>
      </c>
      <c r="F49">
        <v>100063196</v>
      </c>
      <c r="G49" t="s">
        <v>31</v>
      </c>
      <c r="H49" t="s">
        <v>29</v>
      </c>
      <c r="I49" t="s">
        <v>30</v>
      </c>
      <c r="J49">
        <v>10178339</v>
      </c>
      <c r="K49" t="s">
        <v>47</v>
      </c>
      <c r="L49" t="str">
        <f t="shared" si="3"/>
        <v>00006306100</v>
      </c>
      <c r="M49">
        <v>50000571</v>
      </c>
      <c r="N49" t="s">
        <v>48</v>
      </c>
      <c r="O49" t="str">
        <f>"0943068547"</f>
        <v>0943068547</v>
      </c>
      <c r="P49" s="1">
        <v>43374</v>
      </c>
      <c r="Q49">
        <v>4000001249</v>
      </c>
      <c r="R49" t="s">
        <v>45</v>
      </c>
      <c r="S49">
        <v>1</v>
      </c>
      <c r="T49">
        <v>194.65</v>
      </c>
      <c r="U49">
        <v>196.95</v>
      </c>
      <c r="V49">
        <v>194.65</v>
      </c>
      <c r="W49">
        <v>196.95</v>
      </c>
      <c r="X49">
        <v>307.77999999999997</v>
      </c>
      <c r="Y49">
        <v>307.77999999999997</v>
      </c>
      <c r="Z49" s="2">
        <v>-113.13</v>
      </c>
      <c r="AA49">
        <v>-110.83</v>
      </c>
    </row>
    <row r="50" spans="2:27" x14ac:dyDescent="0.25">
      <c r="B50">
        <v>100084829</v>
      </c>
      <c r="C50" t="s">
        <v>28</v>
      </c>
      <c r="D50" t="s">
        <v>29</v>
      </c>
      <c r="E50" t="s">
        <v>30</v>
      </c>
      <c r="F50">
        <v>100063196</v>
      </c>
      <c r="G50" t="s">
        <v>31</v>
      </c>
      <c r="H50" t="s">
        <v>29</v>
      </c>
      <c r="I50" t="s">
        <v>30</v>
      </c>
      <c r="J50">
        <v>10178339</v>
      </c>
      <c r="K50" t="s">
        <v>47</v>
      </c>
      <c r="L50" t="str">
        <f t="shared" si="3"/>
        <v>00006306100</v>
      </c>
      <c r="M50">
        <v>50000571</v>
      </c>
      <c r="N50" t="s">
        <v>48</v>
      </c>
      <c r="O50" t="str">
        <f>"0937011852"</f>
        <v>0937011852</v>
      </c>
      <c r="P50" s="1">
        <v>43237</v>
      </c>
      <c r="Q50">
        <v>4000001249</v>
      </c>
      <c r="R50" t="s">
        <v>45</v>
      </c>
      <c r="S50">
        <v>1</v>
      </c>
      <c r="T50">
        <v>194.15</v>
      </c>
      <c r="U50">
        <v>196.95</v>
      </c>
      <c r="V50">
        <v>194.15</v>
      </c>
      <c r="W50">
        <v>196.95</v>
      </c>
      <c r="X50">
        <v>307.77999999999997</v>
      </c>
      <c r="Y50">
        <v>307.77999999999997</v>
      </c>
      <c r="Z50" s="2">
        <v>-113.63</v>
      </c>
      <c r="AA50">
        <v>-110.83</v>
      </c>
    </row>
    <row r="51" spans="2:27" x14ac:dyDescent="0.25">
      <c r="B51">
        <v>100084829</v>
      </c>
      <c r="C51" t="s">
        <v>28</v>
      </c>
      <c r="D51" t="s">
        <v>29</v>
      </c>
      <c r="E51" t="s">
        <v>30</v>
      </c>
      <c r="F51">
        <v>100063196</v>
      </c>
      <c r="G51" t="s">
        <v>31</v>
      </c>
      <c r="H51" t="s">
        <v>29</v>
      </c>
      <c r="I51" t="s">
        <v>30</v>
      </c>
      <c r="J51">
        <v>10178339</v>
      </c>
      <c r="K51" t="s">
        <v>47</v>
      </c>
      <c r="L51" t="str">
        <f t="shared" si="3"/>
        <v>00006306100</v>
      </c>
      <c r="M51">
        <v>50000571</v>
      </c>
      <c r="N51" t="s">
        <v>48</v>
      </c>
      <c r="O51" t="str">
        <f>"0941949983"</f>
        <v>0941949983</v>
      </c>
      <c r="P51" s="1">
        <v>43349</v>
      </c>
      <c r="Q51">
        <v>4000001249</v>
      </c>
      <c r="R51" t="s">
        <v>45</v>
      </c>
      <c r="S51">
        <v>1</v>
      </c>
      <c r="T51">
        <v>194.65</v>
      </c>
      <c r="U51">
        <v>196.95</v>
      </c>
      <c r="V51">
        <v>194.65</v>
      </c>
      <c r="W51">
        <v>196.95</v>
      </c>
      <c r="X51">
        <v>307.77999999999997</v>
      </c>
      <c r="Y51">
        <v>307.77999999999997</v>
      </c>
      <c r="Z51" s="2">
        <v>-113.13</v>
      </c>
      <c r="AA51">
        <v>-110.83</v>
      </c>
    </row>
    <row r="52" spans="2:27" x14ac:dyDescent="0.25">
      <c r="B52">
        <v>100084829</v>
      </c>
      <c r="C52" t="s">
        <v>28</v>
      </c>
      <c r="D52" t="s">
        <v>29</v>
      </c>
      <c r="E52" t="s">
        <v>30</v>
      </c>
      <c r="F52">
        <v>100063196</v>
      </c>
      <c r="G52" t="s">
        <v>31</v>
      </c>
      <c r="H52" t="s">
        <v>29</v>
      </c>
      <c r="I52" t="s">
        <v>30</v>
      </c>
      <c r="J52">
        <v>10178339</v>
      </c>
      <c r="K52" t="s">
        <v>47</v>
      </c>
      <c r="L52" t="str">
        <f t="shared" si="3"/>
        <v>00006306100</v>
      </c>
      <c r="M52">
        <v>50000571</v>
      </c>
      <c r="N52" t="s">
        <v>48</v>
      </c>
      <c r="O52" t="str">
        <f>"0939017181"</f>
        <v>0939017181</v>
      </c>
      <c r="P52" s="1">
        <v>43283</v>
      </c>
      <c r="Q52">
        <v>4000001249</v>
      </c>
      <c r="R52" t="s">
        <v>45</v>
      </c>
      <c r="S52">
        <v>1</v>
      </c>
      <c r="T52">
        <v>194.15</v>
      </c>
      <c r="U52">
        <v>196.95</v>
      </c>
      <c r="V52">
        <v>194.15</v>
      </c>
      <c r="W52">
        <v>196.95</v>
      </c>
      <c r="X52">
        <v>307.77999999999997</v>
      </c>
      <c r="Y52">
        <v>307.77999999999997</v>
      </c>
      <c r="Z52" s="2">
        <v>-113.63</v>
      </c>
      <c r="AA52">
        <v>-110.83</v>
      </c>
    </row>
    <row r="53" spans="2:27" x14ac:dyDescent="0.25">
      <c r="B53">
        <v>100084829</v>
      </c>
      <c r="C53" t="s">
        <v>28</v>
      </c>
      <c r="D53" t="s">
        <v>29</v>
      </c>
      <c r="E53" t="s">
        <v>30</v>
      </c>
      <c r="F53">
        <v>100063196</v>
      </c>
      <c r="G53" t="s">
        <v>31</v>
      </c>
      <c r="H53" t="s">
        <v>29</v>
      </c>
      <c r="I53" t="s">
        <v>30</v>
      </c>
      <c r="J53">
        <v>10178339</v>
      </c>
      <c r="K53" t="s">
        <v>47</v>
      </c>
      <c r="L53" t="str">
        <f t="shared" si="3"/>
        <v>00006306100</v>
      </c>
      <c r="M53">
        <v>50000571</v>
      </c>
      <c r="N53" t="s">
        <v>48</v>
      </c>
      <c r="O53" t="str">
        <f>"0944509842"</f>
        <v>0944509842</v>
      </c>
      <c r="P53" s="1">
        <v>43405</v>
      </c>
      <c r="Q53">
        <v>4000001249</v>
      </c>
      <c r="R53" t="s">
        <v>45</v>
      </c>
      <c r="S53">
        <v>1</v>
      </c>
      <c r="T53">
        <v>194.23</v>
      </c>
      <c r="U53">
        <v>196.95</v>
      </c>
      <c r="V53">
        <v>194.23</v>
      </c>
      <c r="W53">
        <v>196.95</v>
      </c>
      <c r="X53">
        <v>307.77999999999997</v>
      </c>
      <c r="Y53">
        <v>307.77999999999997</v>
      </c>
      <c r="Z53" s="2">
        <v>-113.55</v>
      </c>
      <c r="AA53">
        <v>-110.83</v>
      </c>
    </row>
    <row r="54" spans="2:27" x14ac:dyDescent="0.25">
      <c r="B54">
        <v>100084829</v>
      </c>
      <c r="C54" t="s">
        <v>28</v>
      </c>
      <c r="D54" t="s">
        <v>29</v>
      </c>
      <c r="E54" t="s">
        <v>30</v>
      </c>
      <c r="F54">
        <v>100063196</v>
      </c>
      <c r="G54" t="s">
        <v>31</v>
      </c>
      <c r="H54" t="s">
        <v>29</v>
      </c>
      <c r="I54" t="s">
        <v>30</v>
      </c>
      <c r="J54">
        <v>10059150</v>
      </c>
      <c r="K54" t="s">
        <v>50</v>
      </c>
      <c r="L54" t="str">
        <f t="shared" ref="L54:L61" si="4">"00944270005"</f>
        <v>00944270005</v>
      </c>
      <c r="M54">
        <v>50000181</v>
      </c>
      <c r="N54" t="s">
        <v>51</v>
      </c>
      <c r="O54" t="str">
        <f>"0991630390"</f>
        <v>0991630390</v>
      </c>
      <c r="P54" s="1">
        <v>43235</v>
      </c>
      <c r="Q54">
        <v>2000021548</v>
      </c>
      <c r="R54" t="s">
        <v>52</v>
      </c>
      <c r="S54">
        <v>4</v>
      </c>
      <c r="T54">
        <v>485.81</v>
      </c>
      <c r="U54">
        <v>486.62</v>
      </c>
      <c r="V54">
        <v>1943.24</v>
      </c>
      <c r="W54">
        <v>1946.48</v>
      </c>
      <c r="X54">
        <v>852.15</v>
      </c>
      <c r="Y54">
        <v>3408.6</v>
      </c>
      <c r="Z54" s="2">
        <v>-1465.36</v>
      </c>
      <c r="AA54">
        <v>-1462.12</v>
      </c>
    </row>
    <row r="55" spans="2:27" x14ac:dyDescent="0.25">
      <c r="B55">
        <v>100084829</v>
      </c>
      <c r="C55" t="s">
        <v>28</v>
      </c>
      <c r="D55" t="s">
        <v>29</v>
      </c>
      <c r="E55" t="s">
        <v>30</v>
      </c>
      <c r="F55">
        <v>100063196</v>
      </c>
      <c r="G55" t="s">
        <v>31</v>
      </c>
      <c r="H55" t="s">
        <v>29</v>
      </c>
      <c r="I55" t="s">
        <v>30</v>
      </c>
      <c r="J55">
        <v>10059150</v>
      </c>
      <c r="K55" t="s">
        <v>50</v>
      </c>
      <c r="L55" t="str">
        <f t="shared" si="4"/>
        <v>00944270005</v>
      </c>
      <c r="M55">
        <v>50000181</v>
      </c>
      <c r="N55" t="s">
        <v>51</v>
      </c>
      <c r="O55" t="str">
        <f>"0991676983"</f>
        <v>0991676983</v>
      </c>
      <c r="P55" s="1">
        <v>43255</v>
      </c>
      <c r="Q55">
        <v>2000021548</v>
      </c>
      <c r="R55" t="s">
        <v>52</v>
      </c>
      <c r="S55">
        <v>1</v>
      </c>
      <c r="T55">
        <v>485.81</v>
      </c>
      <c r="U55">
        <v>486.62</v>
      </c>
      <c r="V55">
        <v>485.81</v>
      </c>
      <c r="W55">
        <v>486.62</v>
      </c>
      <c r="X55">
        <v>852.15</v>
      </c>
      <c r="Y55">
        <v>852.15</v>
      </c>
      <c r="Z55" s="2">
        <v>-366.34</v>
      </c>
      <c r="AA55">
        <v>-365.53</v>
      </c>
    </row>
    <row r="56" spans="2:27" x14ac:dyDescent="0.25">
      <c r="B56">
        <v>100084829</v>
      </c>
      <c r="C56" t="s">
        <v>28</v>
      </c>
      <c r="D56" t="s">
        <v>29</v>
      </c>
      <c r="E56" t="s">
        <v>30</v>
      </c>
      <c r="F56">
        <v>100063196</v>
      </c>
      <c r="G56" t="s">
        <v>31</v>
      </c>
      <c r="H56" t="s">
        <v>29</v>
      </c>
      <c r="I56" t="s">
        <v>30</v>
      </c>
      <c r="J56">
        <v>10059150</v>
      </c>
      <c r="K56" t="s">
        <v>50</v>
      </c>
      <c r="L56" t="str">
        <f t="shared" si="4"/>
        <v>00944270005</v>
      </c>
      <c r="M56">
        <v>50000181</v>
      </c>
      <c r="N56" t="s">
        <v>51</v>
      </c>
      <c r="O56" t="str">
        <f>"0991557742"</f>
        <v>0991557742</v>
      </c>
      <c r="P56" s="1">
        <v>43203</v>
      </c>
      <c r="Q56">
        <v>2000021548</v>
      </c>
      <c r="R56" t="s">
        <v>52</v>
      </c>
      <c r="S56">
        <v>3</v>
      </c>
      <c r="T56">
        <v>485.81</v>
      </c>
      <c r="U56">
        <v>486.62</v>
      </c>
      <c r="V56">
        <v>1457.43</v>
      </c>
      <c r="W56">
        <v>1459.86</v>
      </c>
      <c r="X56">
        <v>852.15</v>
      </c>
      <c r="Y56">
        <v>2556.4499999999998</v>
      </c>
      <c r="Z56" s="2">
        <v>-1099.02</v>
      </c>
      <c r="AA56">
        <v>-1096.5899999999999</v>
      </c>
    </row>
    <row r="57" spans="2:27" x14ac:dyDescent="0.25">
      <c r="B57">
        <v>100084829</v>
      </c>
      <c r="C57" t="s">
        <v>28</v>
      </c>
      <c r="D57" t="s">
        <v>29</v>
      </c>
      <c r="E57" t="s">
        <v>30</v>
      </c>
      <c r="F57">
        <v>100063196</v>
      </c>
      <c r="G57" t="s">
        <v>31</v>
      </c>
      <c r="H57" t="s">
        <v>29</v>
      </c>
      <c r="I57" t="s">
        <v>30</v>
      </c>
      <c r="J57">
        <v>10059150</v>
      </c>
      <c r="K57" t="s">
        <v>50</v>
      </c>
      <c r="L57" t="str">
        <f t="shared" si="4"/>
        <v>00944270005</v>
      </c>
      <c r="M57">
        <v>50000181</v>
      </c>
      <c r="N57" t="s">
        <v>51</v>
      </c>
      <c r="O57" t="str">
        <f>"0991813405"</f>
        <v>0991813405</v>
      </c>
      <c r="P57" s="1">
        <v>43311</v>
      </c>
      <c r="Q57">
        <v>2000021548</v>
      </c>
      <c r="R57" t="s">
        <v>52</v>
      </c>
      <c r="S57">
        <v>6</v>
      </c>
      <c r="T57">
        <v>485.81</v>
      </c>
      <c r="U57">
        <v>486.62</v>
      </c>
      <c r="V57">
        <v>2914.86</v>
      </c>
      <c r="W57">
        <v>2919.72</v>
      </c>
      <c r="X57">
        <v>852.15</v>
      </c>
      <c r="Y57">
        <v>5112.8999999999996</v>
      </c>
      <c r="Z57" s="2">
        <v>-2198.04</v>
      </c>
      <c r="AA57">
        <v>-2193.1799999999998</v>
      </c>
    </row>
    <row r="58" spans="2:27" x14ac:dyDescent="0.25">
      <c r="B58">
        <v>100084829</v>
      </c>
      <c r="C58" t="s">
        <v>28</v>
      </c>
      <c r="D58" t="s">
        <v>29</v>
      </c>
      <c r="E58" t="s">
        <v>30</v>
      </c>
      <c r="F58">
        <v>100063196</v>
      </c>
      <c r="G58" t="s">
        <v>31</v>
      </c>
      <c r="H58" t="s">
        <v>29</v>
      </c>
      <c r="I58" t="s">
        <v>30</v>
      </c>
      <c r="J58">
        <v>10059150</v>
      </c>
      <c r="K58" t="s">
        <v>50</v>
      </c>
      <c r="L58" t="str">
        <f t="shared" si="4"/>
        <v>00944270005</v>
      </c>
      <c r="M58">
        <v>50000181</v>
      </c>
      <c r="N58" t="s">
        <v>51</v>
      </c>
      <c r="O58" t="str">
        <f>"0991617544"</f>
        <v>0991617544</v>
      </c>
      <c r="P58" s="1">
        <v>43229</v>
      </c>
      <c r="Q58">
        <v>2000021548</v>
      </c>
      <c r="R58" t="s">
        <v>52</v>
      </c>
      <c r="S58">
        <v>3</v>
      </c>
      <c r="T58">
        <v>485.81</v>
      </c>
      <c r="U58">
        <v>486.62</v>
      </c>
      <c r="V58">
        <v>1457.43</v>
      </c>
      <c r="W58">
        <v>1459.86</v>
      </c>
      <c r="X58">
        <v>852.15</v>
      </c>
      <c r="Y58">
        <v>2556.4499999999998</v>
      </c>
      <c r="Z58" s="2">
        <v>-1099.02</v>
      </c>
      <c r="AA58">
        <v>-1096.5899999999999</v>
      </c>
    </row>
    <row r="59" spans="2:27" x14ac:dyDescent="0.25">
      <c r="B59">
        <v>100084829</v>
      </c>
      <c r="C59" t="s">
        <v>28</v>
      </c>
      <c r="D59" t="s">
        <v>29</v>
      </c>
      <c r="E59" t="s">
        <v>30</v>
      </c>
      <c r="F59">
        <v>100063196</v>
      </c>
      <c r="G59" t="s">
        <v>31</v>
      </c>
      <c r="H59" t="s">
        <v>29</v>
      </c>
      <c r="I59" t="s">
        <v>30</v>
      </c>
      <c r="J59">
        <v>10059150</v>
      </c>
      <c r="K59" t="s">
        <v>50</v>
      </c>
      <c r="L59" t="str">
        <f t="shared" si="4"/>
        <v>00944270005</v>
      </c>
      <c r="M59">
        <v>50000181</v>
      </c>
      <c r="N59" t="s">
        <v>51</v>
      </c>
      <c r="O59" t="str">
        <f>"0991559512"</f>
        <v>0991559512</v>
      </c>
      <c r="P59" s="1">
        <v>43206</v>
      </c>
      <c r="Q59">
        <v>2000021548</v>
      </c>
      <c r="R59" t="s">
        <v>52</v>
      </c>
      <c r="S59">
        <v>3</v>
      </c>
      <c r="T59">
        <v>485.81</v>
      </c>
      <c r="U59">
        <v>486.62</v>
      </c>
      <c r="V59">
        <v>1457.43</v>
      </c>
      <c r="W59">
        <v>1459.86</v>
      </c>
      <c r="X59">
        <v>852.15</v>
      </c>
      <c r="Y59">
        <v>2556.4499999999998</v>
      </c>
      <c r="Z59" s="2">
        <v>-1099.02</v>
      </c>
      <c r="AA59">
        <v>-1096.5899999999999</v>
      </c>
    </row>
    <row r="60" spans="2:27" x14ac:dyDescent="0.25">
      <c r="B60">
        <v>100084829</v>
      </c>
      <c r="C60" t="s">
        <v>28</v>
      </c>
      <c r="D60" t="s">
        <v>29</v>
      </c>
      <c r="E60" t="s">
        <v>30</v>
      </c>
      <c r="F60">
        <v>100063196</v>
      </c>
      <c r="G60" t="s">
        <v>31</v>
      </c>
      <c r="H60" t="s">
        <v>29</v>
      </c>
      <c r="I60" t="s">
        <v>30</v>
      </c>
      <c r="J60">
        <v>10059150</v>
      </c>
      <c r="K60" t="s">
        <v>50</v>
      </c>
      <c r="L60" t="str">
        <f t="shared" si="4"/>
        <v>00944270005</v>
      </c>
      <c r="M60">
        <v>50000181</v>
      </c>
      <c r="N60" t="s">
        <v>51</v>
      </c>
      <c r="O60" t="str">
        <f>"0992196876"</f>
        <v>0992196876</v>
      </c>
      <c r="P60" s="1">
        <v>43420</v>
      </c>
      <c r="Q60">
        <v>2000021548</v>
      </c>
      <c r="R60" t="s">
        <v>52</v>
      </c>
      <c r="S60">
        <v>6</v>
      </c>
      <c r="T60">
        <v>477.98</v>
      </c>
      <c r="U60">
        <v>486.62</v>
      </c>
      <c r="V60">
        <v>2867.88</v>
      </c>
      <c r="W60">
        <v>2919.72</v>
      </c>
      <c r="X60">
        <v>852.15</v>
      </c>
      <c r="Y60">
        <v>5112.8999999999996</v>
      </c>
      <c r="Z60" s="2">
        <v>-2245.02</v>
      </c>
      <c r="AA60">
        <v>-2193.1799999999998</v>
      </c>
    </row>
    <row r="61" spans="2:27" x14ac:dyDescent="0.25">
      <c r="B61">
        <v>100084829</v>
      </c>
      <c r="C61" t="s">
        <v>28</v>
      </c>
      <c r="D61" t="s">
        <v>29</v>
      </c>
      <c r="E61" t="s">
        <v>30</v>
      </c>
      <c r="F61">
        <v>100063196</v>
      </c>
      <c r="G61" t="s">
        <v>31</v>
      </c>
      <c r="H61" t="s">
        <v>29</v>
      </c>
      <c r="I61" t="s">
        <v>30</v>
      </c>
      <c r="J61">
        <v>10059150</v>
      </c>
      <c r="K61" t="s">
        <v>50</v>
      </c>
      <c r="L61" t="str">
        <f t="shared" si="4"/>
        <v>00944270005</v>
      </c>
      <c r="M61">
        <v>50000181</v>
      </c>
      <c r="N61" t="s">
        <v>51</v>
      </c>
      <c r="O61" t="str">
        <f>"0992286469"</f>
        <v>0992286469</v>
      </c>
      <c r="P61" s="1">
        <v>43452</v>
      </c>
      <c r="Q61">
        <v>2000021548</v>
      </c>
      <c r="R61" t="s">
        <v>52</v>
      </c>
      <c r="S61">
        <v>6</v>
      </c>
      <c r="T61">
        <v>477.98</v>
      </c>
      <c r="U61">
        <v>486.62</v>
      </c>
      <c r="V61">
        <v>2867.88</v>
      </c>
      <c r="W61">
        <v>2919.72</v>
      </c>
      <c r="X61">
        <v>852.15</v>
      </c>
      <c r="Y61">
        <v>5112.8999999999996</v>
      </c>
      <c r="Z61" s="2">
        <v>-2245.02</v>
      </c>
      <c r="AA61">
        <v>-2193.1799999999998</v>
      </c>
    </row>
    <row r="62" spans="2:27" x14ac:dyDescent="0.25">
      <c r="B62">
        <v>100084829</v>
      </c>
      <c r="C62" t="s">
        <v>28</v>
      </c>
      <c r="D62" t="s">
        <v>29</v>
      </c>
      <c r="E62" t="s">
        <v>30</v>
      </c>
      <c r="F62">
        <v>100063196</v>
      </c>
      <c r="G62" t="s">
        <v>31</v>
      </c>
      <c r="H62" t="s">
        <v>29</v>
      </c>
      <c r="I62" t="s">
        <v>30</v>
      </c>
      <c r="J62">
        <v>10059142</v>
      </c>
      <c r="K62" t="s">
        <v>53</v>
      </c>
      <c r="L62" t="str">
        <f t="shared" ref="L62:L72" si="5">"00944270004"</f>
        <v>00944270004</v>
      </c>
      <c r="M62">
        <v>50000181</v>
      </c>
      <c r="N62" t="s">
        <v>51</v>
      </c>
      <c r="O62" t="str">
        <f>"0991576621"</f>
        <v>0991576621</v>
      </c>
      <c r="P62" s="1">
        <v>43213</v>
      </c>
      <c r="Q62">
        <v>2000021548</v>
      </c>
      <c r="R62" t="s">
        <v>52</v>
      </c>
      <c r="S62">
        <v>1</v>
      </c>
      <c r="T62">
        <v>242.91</v>
      </c>
      <c r="U62">
        <v>243.31</v>
      </c>
      <c r="V62">
        <v>242.91</v>
      </c>
      <c r="W62">
        <v>243.31</v>
      </c>
      <c r="X62">
        <v>426.08</v>
      </c>
      <c r="Y62">
        <v>426.08</v>
      </c>
      <c r="Z62" s="2">
        <v>-183.17</v>
      </c>
      <c r="AA62">
        <v>-182.77</v>
      </c>
    </row>
    <row r="63" spans="2:27" x14ac:dyDescent="0.25">
      <c r="B63">
        <v>100084829</v>
      </c>
      <c r="C63" t="s">
        <v>28</v>
      </c>
      <c r="D63" t="s">
        <v>29</v>
      </c>
      <c r="E63" t="s">
        <v>30</v>
      </c>
      <c r="F63">
        <v>100063196</v>
      </c>
      <c r="G63" t="s">
        <v>31</v>
      </c>
      <c r="H63" t="s">
        <v>29</v>
      </c>
      <c r="I63" t="s">
        <v>30</v>
      </c>
      <c r="J63">
        <v>10059142</v>
      </c>
      <c r="K63" t="s">
        <v>53</v>
      </c>
      <c r="L63" t="str">
        <f t="shared" si="5"/>
        <v>00944270004</v>
      </c>
      <c r="M63">
        <v>50000181</v>
      </c>
      <c r="N63" t="s">
        <v>51</v>
      </c>
      <c r="O63" t="str">
        <f>"0991312389"</f>
        <v>0991312389</v>
      </c>
      <c r="P63" s="1">
        <v>43104</v>
      </c>
      <c r="Q63">
        <v>2000021548</v>
      </c>
      <c r="R63" t="s">
        <v>52</v>
      </c>
      <c r="S63">
        <v>1</v>
      </c>
      <c r="T63">
        <v>238.84</v>
      </c>
      <c r="U63">
        <v>243.31</v>
      </c>
      <c r="V63">
        <v>238.84</v>
      </c>
      <c r="W63">
        <v>243.31</v>
      </c>
      <c r="X63">
        <v>426.08</v>
      </c>
      <c r="Y63">
        <v>426.08</v>
      </c>
      <c r="Z63" s="2">
        <v>-187.24</v>
      </c>
      <c r="AA63">
        <v>-182.77</v>
      </c>
    </row>
    <row r="64" spans="2:27" x14ac:dyDescent="0.25">
      <c r="B64">
        <v>100084829</v>
      </c>
      <c r="C64" t="s">
        <v>28</v>
      </c>
      <c r="D64" t="s">
        <v>29</v>
      </c>
      <c r="E64" t="s">
        <v>30</v>
      </c>
      <c r="F64">
        <v>100063196</v>
      </c>
      <c r="G64" t="s">
        <v>31</v>
      </c>
      <c r="H64" t="s">
        <v>29</v>
      </c>
      <c r="I64" t="s">
        <v>30</v>
      </c>
      <c r="J64">
        <v>10059142</v>
      </c>
      <c r="K64" t="s">
        <v>53</v>
      </c>
      <c r="L64" t="str">
        <f t="shared" si="5"/>
        <v>00944270004</v>
      </c>
      <c r="M64">
        <v>50000181</v>
      </c>
      <c r="N64" t="s">
        <v>51</v>
      </c>
      <c r="O64" t="str">
        <f>"0991366454"</f>
        <v>0991366454</v>
      </c>
      <c r="P64" s="1">
        <v>43125</v>
      </c>
      <c r="Q64">
        <v>2000021548</v>
      </c>
      <c r="R64" t="s">
        <v>52</v>
      </c>
      <c r="S64">
        <v>1</v>
      </c>
      <c r="T64">
        <v>238.84</v>
      </c>
      <c r="U64">
        <v>243.31</v>
      </c>
      <c r="V64">
        <v>238.84</v>
      </c>
      <c r="W64">
        <v>243.31</v>
      </c>
      <c r="X64">
        <v>426.08</v>
      </c>
      <c r="Y64">
        <v>426.08</v>
      </c>
      <c r="Z64" s="2">
        <v>-187.24</v>
      </c>
      <c r="AA64">
        <v>-182.77</v>
      </c>
    </row>
    <row r="65" spans="2:27" x14ac:dyDescent="0.25">
      <c r="B65">
        <v>100084829</v>
      </c>
      <c r="C65" t="s">
        <v>28</v>
      </c>
      <c r="D65" t="s">
        <v>29</v>
      </c>
      <c r="E65" t="s">
        <v>30</v>
      </c>
      <c r="F65">
        <v>100063196</v>
      </c>
      <c r="G65" t="s">
        <v>31</v>
      </c>
      <c r="H65" t="s">
        <v>29</v>
      </c>
      <c r="I65" t="s">
        <v>30</v>
      </c>
      <c r="J65">
        <v>10059142</v>
      </c>
      <c r="K65" t="s">
        <v>53</v>
      </c>
      <c r="L65" t="str">
        <f t="shared" si="5"/>
        <v>00944270004</v>
      </c>
      <c r="M65">
        <v>50000181</v>
      </c>
      <c r="N65" t="s">
        <v>51</v>
      </c>
      <c r="O65" t="str">
        <f>"0991982219"</f>
        <v>0991982219</v>
      </c>
      <c r="P65" s="1">
        <v>43361</v>
      </c>
      <c r="Q65">
        <v>2000021548</v>
      </c>
      <c r="R65" t="s">
        <v>52</v>
      </c>
      <c r="S65">
        <v>1</v>
      </c>
      <c r="T65">
        <v>212.21</v>
      </c>
      <c r="U65">
        <v>243.31</v>
      </c>
      <c r="V65">
        <v>212.21</v>
      </c>
      <c r="W65">
        <v>243.31</v>
      </c>
      <c r="X65">
        <v>426.08</v>
      </c>
      <c r="Y65">
        <v>426.08</v>
      </c>
      <c r="Z65" s="2">
        <v>-213.87</v>
      </c>
      <c r="AA65">
        <v>-182.77</v>
      </c>
    </row>
    <row r="66" spans="2:27" x14ac:dyDescent="0.25">
      <c r="B66">
        <v>100084829</v>
      </c>
      <c r="C66" t="s">
        <v>28</v>
      </c>
      <c r="D66" t="s">
        <v>29</v>
      </c>
      <c r="E66" t="s">
        <v>30</v>
      </c>
      <c r="F66">
        <v>100063196</v>
      </c>
      <c r="G66" t="s">
        <v>31</v>
      </c>
      <c r="H66" t="s">
        <v>29</v>
      </c>
      <c r="I66" t="s">
        <v>30</v>
      </c>
      <c r="J66">
        <v>10059142</v>
      </c>
      <c r="K66" t="s">
        <v>53</v>
      </c>
      <c r="L66" t="str">
        <f t="shared" si="5"/>
        <v>00944270004</v>
      </c>
      <c r="M66">
        <v>50000181</v>
      </c>
      <c r="N66" t="s">
        <v>51</v>
      </c>
      <c r="O66" t="str">
        <f>"0991413851"</f>
        <v>0991413851</v>
      </c>
      <c r="P66" s="1">
        <v>43144</v>
      </c>
      <c r="Q66">
        <v>2000021548</v>
      </c>
      <c r="R66" t="s">
        <v>52</v>
      </c>
      <c r="S66">
        <v>1</v>
      </c>
      <c r="T66">
        <v>238.84</v>
      </c>
      <c r="U66">
        <v>243.31</v>
      </c>
      <c r="V66">
        <v>238.84</v>
      </c>
      <c r="W66">
        <v>243.31</v>
      </c>
      <c r="X66">
        <v>426.08</v>
      </c>
      <c r="Y66">
        <v>426.08</v>
      </c>
      <c r="Z66" s="2">
        <v>-187.24</v>
      </c>
      <c r="AA66">
        <v>-182.77</v>
      </c>
    </row>
    <row r="67" spans="2:27" x14ac:dyDescent="0.25">
      <c r="B67">
        <v>100084829</v>
      </c>
      <c r="C67" t="s">
        <v>28</v>
      </c>
      <c r="D67" t="s">
        <v>29</v>
      </c>
      <c r="E67" t="s">
        <v>30</v>
      </c>
      <c r="F67">
        <v>100063196</v>
      </c>
      <c r="G67" t="s">
        <v>31</v>
      </c>
      <c r="H67" t="s">
        <v>29</v>
      </c>
      <c r="I67" t="s">
        <v>30</v>
      </c>
      <c r="J67">
        <v>10059142</v>
      </c>
      <c r="K67" t="s">
        <v>53</v>
      </c>
      <c r="L67" t="str">
        <f t="shared" si="5"/>
        <v>00944270004</v>
      </c>
      <c r="M67">
        <v>50000181</v>
      </c>
      <c r="N67" t="s">
        <v>51</v>
      </c>
      <c r="O67" t="str">
        <f>"0991515593"</f>
        <v>0991515593</v>
      </c>
      <c r="P67" s="1">
        <v>43187</v>
      </c>
      <c r="Q67">
        <v>2000021548</v>
      </c>
      <c r="R67" t="s">
        <v>52</v>
      </c>
      <c r="S67">
        <v>1</v>
      </c>
      <c r="T67">
        <v>238.84</v>
      </c>
      <c r="U67">
        <v>243.31</v>
      </c>
      <c r="V67">
        <v>238.84</v>
      </c>
      <c r="W67">
        <v>243.31</v>
      </c>
      <c r="X67">
        <v>426.08</v>
      </c>
      <c r="Y67">
        <v>426.08</v>
      </c>
      <c r="Z67" s="2">
        <v>-187.24</v>
      </c>
      <c r="AA67">
        <v>-182.77</v>
      </c>
    </row>
    <row r="68" spans="2:27" x14ac:dyDescent="0.25">
      <c r="B68">
        <v>100084829</v>
      </c>
      <c r="C68" t="s">
        <v>28</v>
      </c>
      <c r="D68" t="s">
        <v>29</v>
      </c>
      <c r="E68" t="s">
        <v>30</v>
      </c>
      <c r="F68">
        <v>100063196</v>
      </c>
      <c r="G68" t="s">
        <v>31</v>
      </c>
      <c r="H68" t="s">
        <v>29</v>
      </c>
      <c r="I68" t="s">
        <v>30</v>
      </c>
      <c r="J68">
        <v>10059142</v>
      </c>
      <c r="K68" t="s">
        <v>53</v>
      </c>
      <c r="L68" t="str">
        <f t="shared" si="5"/>
        <v>00944270004</v>
      </c>
      <c r="M68">
        <v>50000181</v>
      </c>
      <c r="N68" t="s">
        <v>51</v>
      </c>
      <c r="O68" t="str">
        <f>"0992286469"</f>
        <v>0992286469</v>
      </c>
      <c r="P68" s="1">
        <v>43452</v>
      </c>
      <c r="Q68">
        <v>2000021548</v>
      </c>
      <c r="R68" t="s">
        <v>52</v>
      </c>
      <c r="S68">
        <v>2</v>
      </c>
      <c r="T68">
        <v>238.99</v>
      </c>
      <c r="U68">
        <v>243.31</v>
      </c>
      <c r="V68">
        <v>477.98</v>
      </c>
      <c r="W68">
        <v>486.62</v>
      </c>
      <c r="X68">
        <v>426.08</v>
      </c>
      <c r="Y68">
        <v>852.16</v>
      </c>
      <c r="Z68" s="2">
        <v>-374.18</v>
      </c>
      <c r="AA68">
        <v>-365.54</v>
      </c>
    </row>
    <row r="69" spans="2:27" x14ac:dyDescent="0.25">
      <c r="B69">
        <v>100084829</v>
      </c>
      <c r="C69" t="s">
        <v>28</v>
      </c>
      <c r="D69" t="s">
        <v>29</v>
      </c>
      <c r="E69" t="s">
        <v>30</v>
      </c>
      <c r="F69">
        <v>100063196</v>
      </c>
      <c r="G69" t="s">
        <v>31</v>
      </c>
      <c r="H69" t="s">
        <v>29</v>
      </c>
      <c r="I69" t="s">
        <v>30</v>
      </c>
      <c r="J69">
        <v>10059142</v>
      </c>
      <c r="K69" t="s">
        <v>53</v>
      </c>
      <c r="L69" t="str">
        <f t="shared" si="5"/>
        <v>00944270004</v>
      </c>
      <c r="M69">
        <v>50000181</v>
      </c>
      <c r="N69" t="s">
        <v>51</v>
      </c>
      <c r="O69" t="str">
        <f>"0991813406"</f>
        <v>0991813406</v>
      </c>
      <c r="P69" s="1">
        <v>43311</v>
      </c>
      <c r="Q69">
        <v>2000021548</v>
      </c>
      <c r="R69" t="s">
        <v>52</v>
      </c>
      <c r="S69">
        <v>1</v>
      </c>
      <c r="T69">
        <v>212.21</v>
      </c>
      <c r="U69">
        <v>243.31</v>
      </c>
      <c r="V69">
        <v>212.21</v>
      </c>
      <c r="W69">
        <v>243.31</v>
      </c>
      <c r="X69">
        <v>426.08</v>
      </c>
      <c r="Y69">
        <v>426.08</v>
      </c>
      <c r="Z69" s="2">
        <v>-213.87</v>
      </c>
      <c r="AA69">
        <v>-182.77</v>
      </c>
    </row>
    <row r="70" spans="2:27" x14ac:dyDescent="0.25">
      <c r="B70">
        <v>100084829</v>
      </c>
      <c r="C70" t="s">
        <v>28</v>
      </c>
      <c r="D70" t="s">
        <v>29</v>
      </c>
      <c r="E70" t="s">
        <v>30</v>
      </c>
      <c r="F70">
        <v>100063196</v>
      </c>
      <c r="G70" t="s">
        <v>31</v>
      </c>
      <c r="H70" t="s">
        <v>29</v>
      </c>
      <c r="I70" t="s">
        <v>30</v>
      </c>
      <c r="J70">
        <v>10059142</v>
      </c>
      <c r="K70" t="s">
        <v>53</v>
      </c>
      <c r="L70" t="str">
        <f t="shared" si="5"/>
        <v>00944270004</v>
      </c>
      <c r="M70">
        <v>50000181</v>
      </c>
      <c r="N70" t="s">
        <v>51</v>
      </c>
      <c r="O70" t="str">
        <f>"0991617544"</f>
        <v>0991617544</v>
      </c>
      <c r="P70" s="1">
        <v>43229</v>
      </c>
      <c r="Q70">
        <v>2000021548</v>
      </c>
      <c r="R70" t="s">
        <v>52</v>
      </c>
      <c r="S70">
        <v>1</v>
      </c>
      <c r="T70">
        <v>242.91</v>
      </c>
      <c r="U70">
        <v>243.31</v>
      </c>
      <c r="V70">
        <v>242.91</v>
      </c>
      <c r="W70">
        <v>243.31</v>
      </c>
      <c r="X70">
        <v>426.08</v>
      </c>
      <c r="Y70">
        <v>426.08</v>
      </c>
      <c r="Z70" s="2">
        <v>-183.17</v>
      </c>
      <c r="AA70">
        <v>-182.77</v>
      </c>
    </row>
    <row r="71" spans="2:27" x14ac:dyDescent="0.25">
      <c r="B71">
        <v>100084829</v>
      </c>
      <c r="C71" t="s">
        <v>28</v>
      </c>
      <c r="D71" t="s">
        <v>29</v>
      </c>
      <c r="E71" t="s">
        <v>30</v>
      </c>
      <c r="F71">
        <v>100063196</v>
      </c>
      <c r="G71" t="s">
        <v>31</v>
      </c>
      <c r="H71" t="s">
        <v>29</v>
      </c>
      <c r="I71" t="s">
        <v>30</v>
      </c>
      <c r="J71">
        <v>10059142</v>
      </c>
      <c r="K71" t="s">
        <v>53</v>
      </c>
      <c r="L71" t="str">
        <f t="shared" si="5"/>
        <v>00944270004</v>
      </c>
      <c r="M71">
        <v>50000181</v>
      </c>
      <c r="N71" t="s">
        <v>51</v>
      </c>
      <c r="O71" t="str">
        <f>"0991476726"</f>
        <v>0991476726</v>
      </c>
      <c r="P71" s="1">
        <v>43171</v>
      </c>
      <c r="Q71">
        <v>2000021548</v>
      </c>
      <c r="R71" t="s">
        <v>52</v>
      </c>
      <c r="S71">
        <v>1</v>
      </c>
      <c r="T71">
        <v>238.84</v>
      </c>
      <c r="U71">
        <v>243.31</v>
      </c>
      <c r="V71">
        <v>238.84</v>
      </c>
      <c r="W71">
        <v>243.31</v>
      </c>
      <c r="X71">
        <v>426.08</v>
      </c>
      <c r="Y71">
        <v>426.08</v>
      </c>
      <c r="Z71" s="2">
        <v>-187.24</v>
      </c>
      <c r="AA71">
        <v>-182.77</v>
      </c>
    </row>
    <row r="72" spans="2:27" x14ac:dyDescent="0.25">
      <c r="B72">
        <v>100084829</v>
      </c>
      <c r="C72" t="s">
        <v>28</v>
      </c>
      <c r="D72" t="s">
        <v>29</v>
      </c>
      <c r="E72" t="s">
        <v>30</v>
      </c>
      <c r="F72">
        <v>100063196</v>
      </c>
      <c r="G72" t="s">
        <v>31</v>
      </c>
      <c r="H72" t="s">
        <v>29</v>
      </c>
      <c r="I72" t="s">
        <v>30</v>
      </c>
      <c r="J72">
        <v>10059142</v>
      </c>
      <c r="K72" t="s">
        <v>53</v>
      </c>
      <c r="L72" t="str">
        <f t="shared" si="5"/>
        <v>00944270004</v>
      </c>
      <c r="M72">
        <v>50000181</v>
      </c>
      <c r="N72" t="s">
        <v>51</v>
      </c>
      <c r="O72" t="str">
        <f>"0992196876"</f>
        <v>0992196876</v>
      </c>
      <c r="P72" s="1">
        <v>43420</v>
      </c>
      <c r="Q72">
        <v>2000021548</v>
      </c>
      <c r="R72" t="s">
        <v>52</v>
      </c>
      <c r="S72">
        <v>1</v>
      </c>
      <c r="T72">
        <v>238.99</v>
      </c>
      <c r="U72">
        <v>243.31</v>
      </c>
      <c r="V72">
        <v>238.99</v>
      </c>
      <c r="W72">
        <v>243.31</v>
      </c>
      <c r="X72">
        <v>426.08</v>
      </c>
      <c r="Y72">
        <v>426.08</v>
      </c>
      <c r="Z72" s="2">
        <v>-187.09</v>
      </c>
      <c r="AA72">
        <v>-182.77</v>
      </c>
    </row>
    <row r="73" spans="2:27" x14ac:dyDescent="0.25">
      <c r="B73">
        <v>100084829</v>
      </c>
      <c r="C73" t="s">
        <v>28</v>
      </c>
      <c r="D73" t="s">
        <v>29</v>
      </c>
      <c r="E73" t="s">
        <v>30</v>
      </c>
      <c r="F73">
        <v>100063196</v>
      </c>
      <c r="G73" t="s">
        <v>31</v>
      </c>
      <c r="H73" t="s">
        <v>29</v>
      </c>
      <c r="I73" t="s">
        <v>30</v>
      </c>
      <c r="J73">
        <v>10098951</v>
      </c>
      <c r="K73" t="s">
        <v>54</v>
      </c>
      <c r="L73" t="str">
        <f t="shared" ref="L73:L79" si="6">"00944270007"</f>
        <v>00944270007</v>
      </c>
      <c r="M73">
        <v>50000181</v>
      </c>
      <c r="N73" t="s">
        <v>51</v>
      </c>
      <c r="O73" t="str">
        <f>"0991503621"</f>
        <v>0991503621</v>
      </c>
      <c r="P73" s="1">
        <v>43181</v>
      </c>
      <c r="Q73">
        <v>2000021548</v>
      </c>
      <c r="R73" t="s">
        <v>52</v>
      </c>
      <c r="S73">
        <v>1</v>
      </c>
      <c r="T73">
        <v>1433.04</v>
      </c>
      <c r="U73">
        <v>1459.86</v>
      </c>
      <c r="V73">
        <v>1433.04</v>
      </c>
      <c r="W73">
        <v>1459.86</v>
      </c>
      <c r="X73">
        <v>2556.4499999999998</v>
      </c>
      <c r="Y73">
        <v>2556.4499999999998</v>
      </c>
      <c r="Z73" s="2">
        <v>-1123.4100000000001</v>
      </c>
      <c r="AA73">
        <v>-1096.5899999999999</v>
      </c>
    </row>
    <row r="74" spans="2:27" x14ac:dyDescent="0.25">
      <c r="B74">
        <v>100084829</v>
      </c>
      <c r="C74" t="s">
        <v>28</v>
      </c>
      <c r="D74" t="s">
        <v>29</v>
      </c>
      <c r="E74" t="s">
        <v>30</v>
      </c>
      <c r="F74">
        <v>100063196</v>
      </c>
      <c r="G74" t="s">
        <v>31</v>
      </c>
      <c r="H74" t="s">
        <v>29</v>
      </c>
      <c r="I74" t="s">
        <v>30</v>
      </c>
      <c r="J74">
        <v>10098951</v>
      </c>
      <c r="K74" t="s">
        <v>54</v>
      </c>
      <c r="L74" t="str">
        <f t="shared" si="6"/>
        <v>00944270007</v>
      </c>
      <c r="M74">
        <v>50000181</v>
      </c>
      <c r="N74" t="s">
        <v>51</v>
      </c>
      <c r="O74" t="str">
        <f>"0991772473"</f>
        <v>0991772473</v>
      </c>
      <c r="P74" s="1">
        <v>43293</v>
      </c>
      <c r="Q74">
        <v>2000021548</v>
      </c>
      <c r="R74" t="s">
        <v>52</v>
      </c>
      <c r="S74">
        <v>2</v>
      </c>
      <c r="T74">
        <v>1457.43</v>
      </c>
      <c r="U74">
        <v>1459.86</v>
      </c>
      <c r="V74">
        <v>2914.86</v>
      </c>
      <c r="W74">
        <v>2919.72</v>
      </c>
      <c r="X74">
        <v>2556.4499999999998</v>
      </c>
      <c r="Y74">
        <v>5112.8999999999996</v>
      </c>
      <c r="Z74" s="2">
        <v>-2198.04</v>
      </c>
      <c r="AA74">
        <v>-2193.1799999999998</v>
      </c>
    </row>
    <row r="75" spans="2:27" x14ac:dyDescent="0.25">
      <c r="B75">
        <v>100084829</v>
      </c>
      <c r="C75" t="s">
        <v>28</v>
      </c>
      <c r="D75" t="s">
        <v>29</v>
      </c>
      <c r="E75" t="s">
        <v>30</v>
      </c>
      <c r="F75">
        <v>100063196</v>
      </c>
      <c r="G75" t="s">
        <v>31</v>
      </c>
      <c r="H75" t="s">
        <v>29</v>
      </c>
      <c r="I75" t="s">
        <v>30</v>
      </c>
      <c r="J75">
        <v>10098951</v>
      </c>
      <c r="K75" t="s">
        <v>54</v>
      </c>
      <c r="L75" t="str">
        <f t="shared" si="6"/>
        <v>00944270007</v>
      </c>
      <c r="M75">
        <v>50000181</v>
      </c>
      <c r="N75" t="s">
        <v>51</v>
      </c>
      <c r="O75" t="str">
        <f>"0991768748"</f>
        <v>0991768748</v>
      </c>
      <c r="P75" s="1">
        <v>43292</v>
      </c>
      <c r="Q75">
        <v>2000021548</v>
      </c>
      <c r="R75" t="s">
        <v>52</v>
      </c>
      <c r="S75">
        <v>1</v>
      </c>
      <c r="T75">
        <v>1457.43</v>
      </c>
      <c r="U75">
        <v>1459.86</v>
      </c>
      <c r="V75">
        <v>1457.43</v>
      </c>
      <c r="W75">
        <v>1459.86</v>
      </c>
      <c r="X75">
        <v>2556.4499999999998</v>
      </c>
      <c r="Y75">
        <v>2556.4499999999998</v>
      </c>
      <c r="Z75" s="2">
        <v>-1099.02</v>
      </c>
      <c r="AA75">
        <v>-1096.5899999999999</v>
      </c>
    </row>
    <row r="76" spans="2:27" x14ac:dyDescent="0.25">
      <c r="B76">
        <v>100084829</v>
      </c>
      <c r="C76" t="s">
        <v>28</v>
      </c>
      <c r="D76" t="s">
        <v>29</v>
      </c>
      <c r="E76" t="s">
        <v>30</v>
      </c>
      <c r="F76">
        <v>100063196</v>
      </c>
      <c r="G76" t="s">
        <v>31</v>
      </c>
      <c r="H76" t="s">
        <v>29</v>
      </c>
      <c r="I76" t="s">
        <v>30</v>
      </c>
      <c r="J76">
        <v>10098951</v>
      </c>
      <c r="K76" t="s">
        <v>54</v>
      </c>
      <c r="L76" t="str">
        <f t="shared" si="6"/>
        <v>00944270007</v>
      </c>
      <c r="M76">
        <v>50000181</v>
      </c>
      <c r="N76" t="s">
        <v>51</v>
      </c>
      <c r="O76" t="str">
        <f>"0991366454"</f>
        <v>0991366454</v>
      </c>
      <c r="P76" s="1">
        <v>43125</v>
      </c>
      <c r="Q76">
        <v>2000021548</v>
      </c>
      <c r="R76" t="s">
        <v>52</v>
      </c>
      <c r="S76">
        <v>1</v>
      </c>
      <c r="T76">
        <v>1433.04</v>
      </c>
      <c r="U76">
        <v>1459.86</v>
      </c>
      <c r="V76">
        <v>1433.04</v>
      </c>
      <c r="W76">
        <v>1459.86</v>
      </c>
      <c r="X76">
        <v>2556.4499999999998</v>
      </c>
      <c r="Y76">
        <v>2556.4499999999998</v>
      </c>
      <c r="Z76" s="2">
        <v>-1123.4100000000001</v>
      </c>
      <c r="AA76">
        <v>-1096.5899999999999</v>
      </c>
    </row>
    <row r="77" spans="2:27" x14ac:dyDescent="0.25">
      <c r="B77">
        <v>100084829</v>
      </c>
      <c r="C77" t="s">
        <v>28</v>
      </c>
      <c r="D77" t="s">
        <v>29</v>
      </c>
      <c r="E77" t="s">
        <v>30</v>
      </c>
      <c r="F77">
        <v>100063196</v>
      </c>
      <c r="G77" t="s">
        <v>31</v>
      </c>
      <c r="H77" t="s">
        <v>29</v>
      </c>
      <c r="I77" t="s">
        <v>30</v>
      </c>
      <c r="J77">
        <v>10098951</v>
      </c>
      <c r="K77" t="s">
        <v>54</v>
      </c>
      <c r="L77" t="str">
        <f t="shared" si="6"/>
        <v>00944270007</v>
      </c>
      <c r="M77">
        <v>50000181</v>
      </c>
      <c r="N77" t="s">
        <v>51</v>
      </c>
      <c r="O77" t="str">
        <f>"0991470530"</f>
        <v>0991470530</v>
      </c>
      <c r="P77" s="1">
        <v>43167</v>
      </c>
      <c r="Q77">
        <v>2000021548</v>
      </c>
      <c r="R77" t="s">
        <v>52</v>
      </c>
      <c r="S77">
        <v>1</v>
      </c>
      <c r="T77">
        <v>1433.04</v>
      </c>
      <c r="U77">
        <v>1459.86</v>
      </c>
      <c r="V77">
        <v>1433.04</v>
      </c>
      <c r="W77">
        <v>1459.86</v>
      </c>
      <c r="X77">
        <v>2556.4499999999998</v>
      </c>
      <c r="Y77">
        <v>2556.4499999999998</v>
      </c>
      <c r="Z77" s="2">
        <v>-1123.4100000000001</v>
      </c>
      <c r="AA77">
        <v>-1096.5899999999999</v>
      </c>
    </row>
    <row r="78" spans="2:27" x14ac:dyDescent="0.25">
      <c r="B78">
        <v>100084829</v>
      </c>
      <c r="C78" t="s">
        <v>28</v>
      </c>
      <c r="D78" t="s">
        <v>29</v>
      </c>
      <c r="E78" t="s">
        <v>30</v>
      </c>
      <c r="F78">
        <v>100063196</v>
      </c>
      <c r="G78" t="s">
        <v>31</v>
      </c>
      <c r="H78" t="s">
        <v>29</v>
      </c>
      <c r="I78" t="s">
        <v>30</v>
      </c>
      <c r="J78">
        <v>10098951</v>
      </c>
      <c r="K78" t="s">
        <v>54</v>
      </c>
      <c r="L78" t="str">
        <f t="shared" si="6"/>
        <v>00944270007</v>
      </c>
      <c r="M78">
        <v>50000181</v>
      </c>
      <c r="N78" t="s">
        <v>51</v>
      </c>
      <c r="O78" t="str">
        <f>"0991312389"</f>
        <v>0991312389</v>
      </c>
      <c r="P78" s="1">
        <v>43104</v>
      </c>
      <c r="Q78">
        <v>2000021548</v>
      </c>
      <c r="R78" t="s">
        <v>52</v>
      </c>
      <c r="S78">
        <v>1</v>
      </c>
      <c r="T78">
        <v>1433.04</v>
      </c>
      <c r="U78">
        <v>1459.86</v>
      </c>
      <c r="V78">
        <v>1433.04</v>
      </c>
      <c r="W78">
        <v>1459.86</v>
      </c>
      <c r="X78">
        <v>2556.4499999999998</v>
      </c>
      <c r="Y78">
        <v>2556.4499999999998</v>
      </c>
      <c r="Z78" s="2">
        <v>-1123.4100000000001</v>
      </c>
      <c r="AA78">
        <v>-1096.5899999999999</v>
      </c>
    </row>
    <row r="79" spans="2:27" x14ac:dyDescent="0.25">
      <c r="B79">
        <v>100084829</v>
      </c>
      <c r="C79" t="s">
        <v>28</v>
      </c>
      <c r="D79" t="s">
        <v>29</v>
      </c>
      <c r="E79" t="s">
        <v>30</v>
      </c>
      <c r="F79">
        <v>100063196</v>
      </c>
      <c r="G79" t="s">
        <v>31</v>
      </c>
      <c r="H79" t="s">
        <v>29</v>
      </c>
      <c r="I79" t="s">
        <v>30</v>
      </c>
      <c r="J79">
        <v>10098951</v>
      </c>
      <c r="K79" t="s">
        <v>54</v>
      </c>
      <c r="L79" t="str">
        <f t="shared" si="6"/>
        <v>00944270007</v>
      </c>
      <c r="M79">
        <v>50000181</v>
      </c>
      <c r="N79" t="s">
        <v>51</v>
      </c>
      <c r="O79" t="str">
        <f>"0991413851"</f>
        <v>0991413851</v>
      </c>
      <c r="P79" s="1">
        <v>43144</v>
      </c>
      <c r="Q79">
        <v>2000021548</v>
      </c>
      <c r="R79" t="s">
        <v>52</v>
      </c>
      <c r="S79">
        <v>1</v>
      </c>
      <c r="T79">
        <v>1433.04</v>
      </c>
      <c r="U79">
        <v>1459.86</v>
      </c>
      <c r="V79">
        <v>1433.04</v>
      </c>
      <c r="W79">
        <v>1459.86</v>
      </c>
      <c r="X79">
        <v>2556.4499999999998</v>
      </c>
      <c r="Y79">
        <v>2556.4499999999998</v>
      </c>
      <c r="Z79" s="2">
        <v>-1123.4100000000001</v>
      </c>
      <c r="AA79">
        <v>-1096.5899999999999</v>
      </c>
    </row>
    <row r="80" spans="2:27" x14ac:dyDescent="0.25">
      <c r="B80">
        <v>100084829</v>
      </c>
      <c r="C80" t="s">
        <v>28</v>
      </c>
      <c r="D80" t="s">
        <v>29</v>
      </c>
      <c r="E80" t="s">
        <v>30</v>
      </c>
      <c r="F80">
        <v>100063196</v>
      </c>
      <c r="G80" t="s">
        <v>31</v>
      </c>
      <c r="H80" t="s">
        <v>29</v>
      </c>
      <c r="I80" t="s">
        <v>30</v>
      </c>
      <c r="J80">
        <v>10170728</v>
      </c>
      <c r="K80" t="s">
        <v>55</v>
      </c>
      <c r="L80" t="str">
        <f>"00069080901"</f>
        <v>00069080901</v>
      </c>
      <c r="M80">
        <v>50004776</v>
      </c>
      <c r="N80" t="s">
        <v>56</v>
      </c>
      <c r="O80" t="str">
        <f>"0943875031"</f>
        <v>0943875031</v>
      </c>
      <c r="P80" s="1">
        <v>43391</v>
      </c>
      <c r="Q80">
        <v>4000000175</v>
      </c>
      <c r="R80" t="s">
        <v>34</v>
      </c>
      <c r="S80">
        <v>5</v>
      </c>
      <c r="T80">
        <v>321.97000000000003</v>
      </c>
      <c r="U80">
        <v>321.97000000000003</v>
      </c>
      <c r="V80">
        <v>1609.85</v>
      </c>
      <c r="W80">
        <v>1609.85</v>
      </c>
      <c r="X80">
        <v>516.07000000000005</v>
      </c>
      <c r="Y80">
        <v>2580.35</v>
      </c>
      <c r="Z80" s="2">
        <v>-970.5</v>
      </c>
      <c r="AA80">
        <v>-970.5</v>
      </c>
    </row>
    <row r="81" spans="2:27" x14ac:dyDescent="0.25">
      <c r="B81">
        <v>100084829</v>
      </c>
      <c r="C81" t="s">
        <v>28</v>
      </c>
      <c r="D81" t="s">
        <v>29</v>
      </c>
      <c r="E81" t="s">
        <v>30</v>
      </c>
      <c r="F81">
        <v>100063196</v>
      </c>
      <c r="G81" t="s">
        <v>31</v>
      </c>
      <c r="H81" t="s">
        <v>29</v>
      </c>
      <c r="I81" t="s">
        <v>30</v>
      </c>
      <c r="J81">
        <v>10170728</v>
      </c>
      <c r="K81" t="s">
        <v>55</v>
      </c>
      <c r="L81" t="str">
        <f>"00069080901"</f>
        <v>00069080901</v>
      </c>
      <c r="M81">
        <v>50004776</v>
      </c>
      <c r="N81" t="s">
        <v>56</v>
      </c>
      <c r="O81" t="str">
        <f>"0938887235"</f>
        <v>0938887235</v>
      </c>
      <c r="P81" s="1">
        <v>43279</v>
      </c>
      <c r="Q81">
        <v>4000000175</v>
      </c>
      <c r="R81" t="s">
        <v>34</v>
      </c>
      <c r="S81">
        <v>5</v>
      </c>
      <c r="T81">
        <v>321.97000000000003</v>
      </c>
      <c r="U81">
        <v>321.97000000000003</v>
      </c>
      <c r="V81">
        <v>1609.85</v>
      </c>
      <c r="W81">
        <v>1609.85</v>
      </c>
      <c r="X81">
        <v>516.07000000000005</v>
      </c>
      <c r="Y81">
        <v>2580.35</v>
      </c>
      <c r="Z81" s="2">
        <v>-970.5</v>
      </c>
      <c r="AA81">
        <v>-970.5</v>
      </c>
    </row>
    <row r="82" spans="2:27" x14ac:dyDescent="0.25">
      <c r="B82">
        <v>100084829</v>
      </c>
      <c r="C82" t="s">
        <v>28</v>
      </c>
      <c r="D82" t="s">
        <v>29</v>
      </c>
      <c r="E82" t="s">
        <v>30</v>
      </c>
      <c r="F82">
        <v>100063196</v>
      </c>
      <c r="G82" t="s">
        <v>31</v>
      </c>
      <c r="H82" t="s">
        <v>29</v>
      </c>
      <c r="I82" t="s">
        <v>30</v>
      </c>
      <c r="J82">
        <v>10125123</v>
      </c>
      <c r="K82" t="s">
        <v>57</v>
      </c>
      <c r="L82" t="str">
        <f t="shared" ref="L82:L98" si="7">"00517065001"</f>
        <v>00517065001</v>
      </c>
      <c r="M82">
        <v>50002650</v>
      </c>
      <c r="N82" t="s">
        <v>58</v>
      </c>
      <c r="O82" t="str">
        <f>"0941949983"</f>
        <v>0941949983</v>
      </c>
      <c r="P82" s="1">
        <v>43349</v>
      </c>
      <c r="Q82">
        <v>4000000175</v>
      </c>
      <c r="R82" t="s">
        <v>34</v>
      </c>
      <c r="S82">
        <v>2</v>
      </c>
      <c r="T82">
        <v>538.20000000000005</v>
      </c>
      <c r="U82">
        <v>556.13</v>
      </c>
      <c r="V82">
        <v>1076.4000000000001</v>
      </c>
      <c r="W82">
        <v>1112.26</v>
      </c>
      <c r="X82">
        <v>767.69</v>
      </c>
      <c r="Y82">
        <v>1535.38</v>
      </c>
      <c r="Z82" s="2">
        <v>-458.98</v>
      </c>
      <c r="AA82">
        <v>-423.12</v>
      </c>
    </row>
    <row r="83" spans="2:27" x14ac:dyDescent="0.25">
      <c r="B83">
        <v>100084829</v>
      </c>
      <c r="C83" t="s">
        <v>28</v>
      </c>
      <c r="D83" t="s">
        <v>29</v>
      </c>
      <c r="E83" t="s">
        <v>30</v>
      </c>
      <c r="F83">
        <v>100063196</v>
      </c>
      <c r="G83" t="s">
        <v>31</v>
      </c>
      <c r="H83" t="s">
        <v>29</v>
      </c>
      <c r="I83" t="s">
        <v>30</v>
      </c>
      <c r="J83">
        <v>10125123</v>
      </c>
      <c r="K83" t="s">
        <v>57</v>
      </c>
      <c r="L83" t="str">
        <f t="shared" si="7"/>
        <v>00517065001</v>
      </c>
      <c r="M83">
        <v>50002650</v>
      </c>
      <c r="N83" t="s">
        <v>58</v>
      </c>
      <c r="O83" t="str">
        <f>"0942285625"</f>
        <v>0942285625</v>
      </c>
      <c r="P83" s="1">
        <v>43356</v>
      </c>
      <c r="Q83">
        <v>4000000175</v>
      </c>
      <c r="R83" t="s">
        <v>34</v>
      </c>
      <c r="S83">
        <v>1</v>
      </c>
      <c r="T83">
        <v>538.20000000000005</v>
      </c>
      <c r="U83">
        <v>556.13</v>
      </c>
      <c r="V83">
        <v>538.20000000000005</v>
      </c>
      <c r="W83">
        <v>556.13</v>
      </c>
      <c r="X83">
        <v>767.69</v>
      </c>
      <c r="Y83">
        <v>767.69</v>
      </c>
      <c r="Z83" s="2">
        <v>-229.49</v>
      </c>
      <c r="AA83">
        <v>-211.56</v>
      </c>
    </row>
    <row r="84" spans="2:27" x14ac:dyDescent="0.25">
      <c r="B84">
        <v>100084829</v>
      </c>
      <c r="C84" t="s">
        <v>28</v>
      </c>
      <c r="D84" t="s">
        <v>29</v>
      </c>
      <c r="E84" t="s">
        <v>30</v>
      </c>
      <c r="F84">
        <v>100063196</v>
      </c>
      <c r="G84" t="s">
        <v>31</v>
      </c>
      <c r="H84" t="s">
        <v>29</v>
      </c>
      <c r="I84" t="s">
        <v>30</v>
      </c>
      <c r="J84">
        <v>10125123</v>
      </c>
      <c r="K84" t="s">
        <v>57</v>
      </c>
      <c r="L84" t="str">
        <f t="shared" si="7"/>
        <v>00517065001</v>
      </c>
      <c r="M84">
        <v>50002650</v>
      </c>
      <c r="N84" t="s">
        <v>58</v>
      </c>
      <c r="O84" t="str">
        <f>"0933430662"</f>
        <v>0933430662</v>
      </c>
      <c r="P84" s="1">
        <v>43164</v>
      </c>
      <c r="Q84">
        <v>4000000175</v>
      </c>
      <c r="R84" t="s">
        <v>34</v>
      </c>
      <c r="S84">
        <v>1</v>
      </c>
      <c r="T84">
        <v>541.96</v>
      </c>
      <c r="U84">
        <v>556.13</v>
      </c>
      <c r="V84">
        <v>541.96</v>
      </c>
      <c r="W84">
        <v>556.13</v>
      </c>
      <c r="X84">
        <v>767.69</v>
      </c>
      <c r="Y84">
        <v>767.69</v>
      </c>
      <c r="Z84" s="2">
        <v>-225.73</v>
      </c>
      <c r="AA84">
        <v>-211.56</v>
      </c>
    </row>
    <row r="85" spans="2:27" x14ac:dyDescent="0.25">
      <c r="B85">
        <v>100084829</v>
      </c>
      <c r="C85" t="s">
        <v>28</v>
      </c>
      <c r="D85" t="s">
        <v>29</v>
      </c>
      <c r="E85" t="s">
        <v>30</v>
      </c>
      <c r="F85">
        <v>100063196</v>
      </c>
      <c r="G85" t="s">
        <v>31</v>
      </c>
      <c r="H85" t="s">
        <v>29</v>
      </c>
      <c r="I85" t="s">
        <v>30</v>
      </c>
      <c r="J85">
        <v>10125123</v>
      </c>
      <c r="K85" t="s">
        <v>57</v>
      </c>
      <c r="L85" t="str">
        <f t="shared" si="7"/>
        <v>00517065001</v>
      </c>
      <c r="M85">
        <v>50002650</v>
      </c>
      <c r="N85" t="s">
        <v>58</v>
      </c>
      <c r="O85" t="str">
        <f>"0940559746"</f>
        <v>0940559746</v>
      </c>
      <c r="P85" s="1">
        <v>43318</v>
      </c>
      <c r="Q85">
        <v>4000000175</v>
      </c>
      <c r="R85" t="s">
        <v>34</v>
      </c>
      <c r="S85">
        <v>2</v>
      </c>
      <c r="T85">
        <v>538.20000000000005</v>
      </c>
      <c r="U85">
        <v>556.13</v>
      </c>
      <c r="V85">
        <v>1076.4000000000001</v>
      </c>
      <c r="W85">
        <v>1112.26</v>
      </c>
      <c r="X85">
        <v>767.69</v>
      </c>
      <c r="Y85">
        <v>1535.38</v>
      </c>
      <c r="Z85" s="2">
        <v>-458.98</v>
      </c>
      <c r="AA85">
        <v>-423.12</v>
      </c>
    </row>
    <row r="86" spans="2:27" x14ac:dyDescent="0.25">
      <c r="B86">
        <v>100084829</v>
      </c>
      <c r="C86" t="s">
        <v>28</v>
      </c>
      <c r="D86" t="s">
        <v>29</v>
      </c>
      <c r="E86" t="s">
        <v>30</v>
      </c>
      <c r="F86">
        <v>100063196</v>
      </c>
      <c r="G86" t="s">
        <v>31</v>
      </c>
      <c r="H86" t="s">
        <v>29</v>
      </c>
      <c r="I86" t="s">
        <v>30</v>
      </c>
      <c r="J86">
        <v>10125123</v>
      </c>
      <c r="K86" t="s">
        <v>57</v>
      </c>
      <c r="L86" t="str">
        <f t="shared" si="7"/>
        <v>00517065001</v>
      </c>
      <c r="M86">
        <v>50002650</v>
      </c>
      <c r="N86" t="s">
        <v>58</v>
      </c>
      <c r="O86" t="str">
        <f>"0930426428"</f>
        <v>0930426428</v>
      </c>
      <c r="P86" s="1">
        <v>43104</v>
      </c>
      <c r="S86">
        <v>2</v>
      </c>
      <c r="T86">
        <v>887.39</v>
      </c>
      <c r="U86">
        <v>556.13</v>
      </c>
      <c r="V86">
        <v>1774.78</v>
      </c>
      <c r="W86">
        <v>1112.26</v>
      </c>
      <c r="X86">
        <v>767.69</v>
      </c>
      <c r="Y86">
        <v>1535.38</v>
      </c>
      <c r="Z86" s="2">
        <v>239.4</v>
      </c>
      <c r="AA86">
        <v>-423.12</v>
      </c>
    </row>
    <row r="87" spans="2:27" x14ac:dyDescent="0.25">
      <c r="B87">
        <v>100084829</v>
      </c>
      <c r="C87" t="s">
        <v>28</v>
      </c>
      <c r="D87" t="s">
        <v>29</v>
      </c>
      <c r="E87" t="s">
        <v>30</v>
      </c>
      <c r="F87">
        <v>100063196</v>
      </c>
      <c r="G87" t="s">
        <v>31</v>
      </c>
      <c r="H87" t="s">
        <v>29</v>
      </c>
      <c r="I87" t="s">
        <v>30</v>
      </c>
      <c r="J87">
        <v>10125123</v>
      </c>
      <c r="K87" t="s">
        <v>57</v>
      </c>
      <c r="L87" t="str">
        <f t="shared" si="7"/>
        <v>00517065001</v>
      </c>
      <c r="M87">
        <v>50002650</v>
      </c>
      <c r="N87" t="s">
        <v>58</v>
      </c>
      <c r="O87" t="str">
        <f>"0932523080"</f>
        <v>0932523080</v>
      </c>
      <c r="P87" s="1">
        <v>43146</v>
      </c>
      <c r="Q87">
        <v>4000000175</v>
      </c>
      <c r="R87" t="s">
        <v>34</v>
      </c>
      <c r="S87">
        <v>1</v>
      </c>
      <c r="T87">
        <v>541.96</v>
      </c>
      <c r="U87">
        <v>556.13</v>
      </c>
      <c r="V87">
        <v>541.96</v>
      </c>
      <c r="W87">
        <v>556.13</v>
      </c>
      <c r="X87">
        <v>767.69</v>
      </c>
      <c r="Y87">
        <v>767.69</v>
      </c>
      <c r="Z87" s="2">
        <v>-225.73</v>
      </c>
      <c r="AA87">
        <v>-211.56</v>
      </c>
    </row>
    <row r="88" spans="2:27" x14ac:dyDescent="0.25">
      <c r="B88">
        <v>100084829</v>
      </c>
      <c r="C88" t="s">
        <v>28</v>
      </c>
      <c r="D88" t="s">
        <v>29</v>
      </c>
      <c r="E88" t="s">
        <v>30</v>
      </c>
      <c r="F88">
        <v>100063196</v>
      </c>
      <c r="G88" t="s">
        <v>31</v>
      </c>
      <c r="H88" t="s">
        <v>29</v>
      </c>
      <c r="I88" t="s">
        <v>30</v>
      </c>
      <c r="J88">
        <v>10125123</v>
      </c>
      <c r="K88" t="s">
        <v>57</v>
      </c>
      <c r="L88" t="str">
        <f t="shared" si="7"/>
        <v>00517065001</v>
      </c>
      <c r="M88">
        <v>50002650</v>
      </c>
      <c r="N88" t="s">
        <v>58</v>
      </c>
      <c r="O88" t="str">
        <f>"0944836898"</f>
        <v>0944836898</v>
      </c>
      <c r="P88" s="1">
        <v>43412</v>
      </c>
      <c r="Q88">
        <v>4000000175</v>
      </c>
      <c r="R88" t="s">
        <v>34</v>
      </c>
      <c r="S88">
        <v>2</v>
      </c>
      <c r="T88">
        <v>541.71</v>
      </c>
      <c r="U88">
        <v>556.13</v>
      </c>
      <c r="V88">
        <v>1083.42</v>
      </c>
      <c r="W88">
        <v>1112.26</v>
      </c>
      <c r="X88">
        <v>767.69</v>
      </c>
      <c r="Y88">
        <v>1535.38</v>
      </c>
      <c r="Z88" s="2">
        <v>-451.96</v>
      </c>
      <c r="AA88">
        <v>-423.12</v>
      </c>
    </row>
    <row r="89" spans="2:27" x14ac:dyDescent="0.25">
      <c r="B89">
        <v>100084829</v>
      </c>
      <c r="C89" t="s">
        <v>28</v>
      </c>
      <c r="D89" t="s">
        <v>29</v>
      </c>
      <c r="E89" t="s">
        <v>30</v>
      </c>
      <c r="F89">
        <v>100063196</v>
      </c>
      <c r="G89" t="s">
        <v>31</v>
      </c>
      <c r="H89" t="s">
        <v>29</v>
      </c>
      <c r="I89" t="s">
        <v>30</v>
      </c>
      <c r="J89">
        <v>10125123</v>
      </c>
      <c r="K89" t="s">
        <v>57</v>
      </c>
      <c r="L89" t="str">
        <f t="shared" si="7"/>
        <v>00517065001</v>
      </c>
      <c r="M89">
        <v>50002650</v>
      </c>
      <c r="N89" t="s">
        <v>58</v>
      </c>
      <c r="O89" t="str">
        <f>"0934388321"</f>
        <v>0934388321</v>
      </c>
      <c r="P89" s="1">
        <v>43181</v>
      </c>
      <c r="Q89">
        <v>4000000175</v>
      </c>
      <c r="R89" t="s">
        <v>34</v>
      </c>
      <c r="S89">
        <v>1</v>
      </c>
      <c r="T89">
        <v>541.96</v>
      </c>
      <c r="U89">
        <v>556.13</v>
      </c>
      <c r="V89">
        <v>541.96</v>
      </c>
      <c r="W89">
        <v>556.13</v>
      </c>
      <c r="X89">
        <v>767.69</v>
      </c>
      <c r="Y89">
        <v>767.69</v>
      </c>
      <c r="Z89" s="2">
        <v>-225.73</v>
      </c>
      <c r="AA89">
        <v>-211.56</v>
      </c>
    </row>
    <row r="90" spans="2:27" x14ac:dyDescent="0.25">
      <c r="B90">
        <v>100084829</v>
      </c>
      <c r="C90" t="s">
        <v>28</v>
      </c>
      <c r="D90" t="s">
        <v>29</v>
      </c>
      <c r="E90" t="s">
        <v>30</v>
      </c>
      <c r="F90">
        <v>100063196</v>
      </c>
      <c r="G90" t="s">
        <v>31</v>
      </c>
      <c r="H90" t="s">
        <v>29</v>
      </c>
      <c r="I90" t="s">
        <v>30</v>
      </c>
      <c r="J90">
        <v>10125123</v>
      </c>
      <c r="K90" t="s">
        <v>57</v>
      </c>
      <c r="L90" t="str">
        <f t="shared" si="7"/>
        <v>00517065001</v>
      </c>
      <c r="M90">
        <v>50002650</v>
      </c>
      <c r="N90" t="s">
        <v>58</v>
      </c>
      <c r="O90" t="str">
        <f>"0944202879"</f>
        <v>0944202879</v>
      </c>
      <c r="P90" s="1">
        <v>43398</v>
      </c>
      <c r="Q90">
        <v>4000000175</v>
      </c>
      <c r="R90" t="s">
        <v>34</v>
      </c>
      <c r="S90">
        <v>1</v>
      </c>
      <c r="T90">
        <v>541.71</v>
      </c>
      <c r="U90">
        <v>556.13</v>
      </c>
      <c r="V90">
        <v>541.71</v>
      </c>
      <c r="W90">
        <v>556.13</v>
      </c>
      <c r="X90">
        <v>767.69</v>
      </c>
      <c r="Y90">
        <v>767.69</v>
      </c>
      <c r="Z90" s="2">
        <v>-225.98</v>
      </c>
      <c r="AA90">
        <v>-211.56</v>
      </c>
    </row>
    <row r="91" spans="2:27" x14ac:dyDescent="0.25">
      <c r="B91">
        <v>100084829</v>
      </c>
      <c r="C91" t="s">
        <v>28</v>
      </c>
      <c r="D91" t="s">
        <v>29</v>
      </c>
      <c r="E91" t="s">
        <v>30</v>
      </c>
      <c r="F91">
        <v>100063196</v>
      </c>
      <c r="G91" t="s">
        <v>31</v>
      </c>
      <c r="H91" t="s">
        <v>29</v>
      </c>
      <c r="I91" t="s">
        <v>30</v>
      </c>
      <c r="J91">
        <v>10125123</v>
      </c>
      <c r="K91" t="s">
        <v>57</v>
      </c>
      <c r="L91" t="str">
        <f t="shared" si="7"/>
        <v>00517065001</v>
      </c>
      <c r="M91">
        <v>50002650</v>
      </c>
      <c r="N91" t="s">
        <v>58</v>
      </c>
      <c r="O91" t="str">
        <f>"0941063375"</f>
        <v>0941063375</v>
      </c>
      <c r="P91" s="1">
        <v>43328</v>
      </c>
      <c r="Q91">
        <v>4000000175</v>
      </c>
      <c r="R91" t="s">
        <v>34</v>
      </c>
      <c r="S91">
        <v>1</v>
      </c>
      <c r="T91">
        <v>538.20000000000005</v>
      </c>
      <c r="U91">
        <v>556.13</v>
      </c>
      <c r="V91">
        <v>538.20000000000005</v>
      </c>
      <c r="W91">
        <v>556.13</v>
      </c>
      <c r="X91">
        <v>767.69</v>
      </c>
      <c r="Y91">
        <v>767.69</v>
      </c>
      <c r="Z91" s="2">
        <v>-229.49</v>
      </c>
      <c r="AA91">
        <v>-211.56</v>
      </c>
    </row>
    <row r="92" spans="2:27" x14ac:dyDescent="0.25">
      <c r="B92">
        <v>100084829</v>
      </c>
      <c r="C92" t="s">
        <v>28</v>
      </c>
      <c r="D92" t="s">
        <v>29</v>
      </c>
      <c r="E92" t="s">
        <v>30</v>
      </c>
      <c r="F92">
        <v>100063196</v>
      </c>
      <c r="G92" t="s">
        <v>31</v>
      </c>
      <c r="H92" t="s">
        <v>29</v>
      </c>
      <c r="I92" t="s">
        <v>30</v>
      </c>
      <c r="J92">
        <v>10125123</v>
      </c>
      <c r="K92" t="s">
        <v>57</v>
      </c>
      <c r="L92" t="str">
        <f t="shared" si="7"/>
        <v>00517065001</v>
      </c>
      <c r="M92">
        <v>50002650</v>
      </c>
      <c r="N92" t="s">
        <v>58</v>
      </c>
      <c r="O92" t="str">
        <f>"0941732111"</f>
        <v>0941732111</v>
      </c>
      <c r="P92" s="1">
        <v>43342</v>
      </c>
      <c r="Q92">
        <v>4000000175</v>
      </c>
      <c r="R92" t="s">
        <v>34</v>
      </c>
      <c r="S92">
        <v>2</v>
      </c>
      <c r="T92">
        <v>538.20000000000005</v>
      </c>
      <c r="U92">
        <v>556.13</v>
      </c>
      <c r="V92">
        <v>1076.4000000000001</v>
      </c>
      <c r="W92">
        <v>1112.26</v>
      </c>
      <c r="X92">
        <v>767.69</v>
      </c>
      <c r="Y92">
        <v>1535.38</v>
      </c>
      <c r="Z92" s="2">
        <v>-458.98</v>
      </c>
      <c r="AA92">
        <v>-423.12</v>
      </c>
    </row>
    <row r="93" spans="2:27" x14ac:dyDescent="0.25">
      <c r="B93">
        <v>100084829</v>
      </c>
      <c r="C93" t="s">
        <v>28</v>
      </c>
      <c r="D93" t="s">
        <v>29</v>
      </c>
      <c r="E93" t="s">
        <v>30</v>
      </c>
      <c r="F93">
        <v>100063196</v>
      </c>
      <c r="G93" t="s">
        <v>31</v>
      </c>
      <c r="H93" t="s">
        <v>29</v>
      </c>
      <c r="I93" t="s">
        <v>30</v>
      </c>
      <c r="J93">
        <v>10125123</v>
      </c>
      <c r="K93" t="s">
        <v>57</v>
      </c>
      <c r="L93" t="str">
        <f t="shared" si="7"/>
        <v>00517065001</v>
      </c>
      <c r="M93">
        <v>50002650</v>
      </c>
      <c r="N93" t="s">
        <v>58</v>
      </c>
      <c r="O93" t="str">
        <f>"0946063877"</f>
        <v>0946063877</v>
      </c>
      <c r="P93" s="1">
        <v>43440</v>
      </c>
      <c r="Q93">
        <v>4000000175</v>
      </c>
      <c r="R93" t="s">
        <v>34</v>
      </c>
      <c r="S93">
        <v>1</v>
      </c>
      <c r="T93">
        <v>541.71</v>
      </c>
      <c r="U93">
        <v>556.13</v>
      </c>
      <c r="V93">
        <v>541.71</v>
      </c>
      <c r="W93">
        <v>556.13</v>
      </c>
      <c r="X93">
        <v>767.69</v>
      </c>
      <c r="Y93">
        <v>767.69</v>
      </c>
      <c r="Z93" s="2">
        <v>-225.98</v>
      </c>
      <c r="AA93">
        <v>-211.56</v>
      </c>
    </row>
    <row r="94" spans="2:27" x14ac:dyDescent="0.25">
      <c r="B94">
        <v>100084829</v>
      </c>
      <c r="C94" t="s">
        <v>28</v>
      </c>
      <c r="D94" t="s">
        <v>29</v>
      </c>
      <c r="E94" t="s">
        <v>30</v>
      </c>
      <c r="F94">
        <v>100063196</v>
      </c>
      <c r="G94" t="s">
        <v>31</v>
      </c>
      <c r="H94" t="s">
        <v>29</v>
      </c>
      <c r="I94" t="s">
        <v>30</v>
      </c>
      <c r="J94">
        <v>10125123</v>
      </c>
      <c r="K94" t="s">
        <v>57</v>
      </c>
      <c r="L94" t="str">
        <f t="shared" si="7"/>
        <v>00517065001</v>
      </c>
      <c r="M94">
        <v>50002650</v>
      </c>
      <c r="N94" t="s">
        <v>58</v>
      </c>
      <c r="O94" t="str">
        <f>"0942743564"</f>
        <v>0942743564</v>
      </c>
      <c r="P94" s="1">
        <v>43367</v>
      </c>
      <c r="Q94">
        <v>4000000175</v>
      </c>
      <c r="R94" t="s">
        <v>34</v>
      </c>
      <c r="S94">
        <v>1</v>
      </c>
      <c r="T94">
        <v>538.20000000000005</v>
      </c>
      <c r="U94">
        <v>556.13</v>
      </c>
      <c r="V94">
        <v>538.20000000000005</v>
      </c>
      <c r="W94">
        <v>556.13</v>
      </c>
      <c r="X94">
        <v>767.69</v>
      </c>
      <c r="Y94">
        <v>767.69</v>
      </c>
      <c r="Z94" s="2">
        <v>-229.49</v>
      </c>
      <c r="AA94">
        <v>-211.56</v>
      </c>
    </row>
    <row r="95" spans="2:27" x14ac:dyDescent="0.25">
      <c r="B95">
        <v>100084829</v>
      </c>
      <c r="C95" t="s">
        <v>28</v>
      </c>
      <c r="D95" t="s">
        <v>29</v>
      </c>
      <c r="E95" t="s">
        <v>30</v>
      </c>
      <c r="F95">
        <v>100063196</v>
      </c>
      <c r="G95" t="s">
        <v>31</v>
      </c>
      <c r="H95" t="s">
        <v>29</v>
      </c>
      <c r="I95" t="s">
        <v>30</v>
      </c>
      <c r="J95">
        <v>10125123</v>
      </c>
      <c r="K95" t="s">
        <v>57</v>
      </c>
      <c r="L95" t="str">
        <f t="shared" si="7"/>
        <v>00517065001</v>
      </c>
      <c r="M95">
        <v>50002650</v>
      </c>
      <c r="N95" t="s">
        <v>58</v>
      </c>
      <c r="O95" t="str">
        <f>"0943385136"</f>
        <v>0943385136</v>
      </c>
      <c r="P95" s="1">
        <v>43381</v>
      </c>
      <c r="Q95">
        <v>4000000175</v>
      </c>
      <c r="R95" t="s">
        <v>34</v>
      </c>
      <c r="S95">
        <v>1</v>
      </c>
      <c r="T95">
        <v>538.20000000000005</v>
      </c>
      <c r="U95">
        <v>556.13</v>
      </c>
      <c r="V95">
        <v>538.20000000000005</v>
      </c>
      <c r="W95">
        <v>556.13</v>
      </c>
      <c r="X95">
        <v>767.69</v>
      </c>
      <c r="Y95">
        <v>767.69</v>
      </c>
      <c r="Z95" s="2">
        <v>-229.49</v>
      </c>
      <c r="AA95">
        <v>-211.56</v>
      </c>
    </row>
    <row r="96" spans="2:27" x14ac:dyDescent="0.25">
      <c r="B96">
        <v>100084829</v>
      </c>
      <c r="C96" t="s">
        <v>28</v>
      </c>
      <c r="D96" t="s">
        <v>29</v>
      </c>
      <c r="E96" t="s">
        <v>30</v>
      </c>
      <c r="F96">
        <v>100063196</v>
      </c>
      <c r="G96" t="s">
        <v>31</v>
      </c>
      <c r="H96" t="s">
        <v>29</v>
      </c>
      <c r="I96" t="s">
        <v>30</v>
      </c>
      <c r="J96">
        <v>10125123</v>
      </c>
      <c r="K96" t="s">
        <v>57</v>
      </c>
      <c r="L96" t="str">
        <f t="shared" si="7"/>
        <v>00517065001</v>
      </c>
      <c r="M96">
        <v>50002650</v>
      </c>
      <c r="N96" t="s">
        <v>58</v>
      </c>
      <c r="O96" t="str">
        <f>"0935414131"</f>
        <v>0935414131</v>
      </c>
      <c r="P96" s="1">
        <v>43202</v>
      </c>
      <c r="Q96">
        <v>4000000175</v>
      </c>
      <c r="R96" t="s">
        <v>34</v>
      </c>
      <c r="S96">
        <v>2</v>
      </c>
      <c r="T96">
        <v>540.96</v>
      </c>
      <c r="U96">
        <v>556.13</v>
      </c>
      <c r="V96">
        <v>1081.92</v>
      </c>
      <c r="W96">
        <v>1112.26</v>
      </c>
      <c r="X96">
        <v>767.69</v>
      </c>
      <c r="Y96">
        <v>1535.38</v>
      </c>
      <c r="Z96" s="2">
        <v>-453.46</v>
      </c>
      <c r="AA96">
        <v>-423.12</v>
      </c>
    </row>
    <row r="97" spans="2:27" x14ac:dyDescent="0.25">
      <c r="B97">
        <v>100084829</v>
      </c>
      <c r="C97" t="s">
        <v>28</v>
      </c>
      <c r="D97" t="s">
        <v>29</v>
      </c>
      <c r="E97" t="s">
        <v>30</v>
      </c>
      <c r="F97">
        <v>100063196</v>
      </c>
      <c r="G97" t="s">
        <v>31</v>
      </c>
      <c r="H97" t="s">
        <v>29</v>
      </c>
      <c r="I97" t="s">
        <v>30</v>
      </c>
      <c r="J97">
        <v>10125123</v>
      </c>
      <c r="K97" t="s">
        <v>57</v>
      </c>
      <c r="L97" t="str">
        <f t="shared" si="7"/>
        <v>00517065001</v>
      </c>
      <c r="M97">
        <v>50002650</v>
      </c>
      <c r="N97" t="s">
        <v>58</v>
      </c>
      <c r="O97" t="str">
        <f>"0946725459"</f>
        <v>0946725459</v>
      </c>
      <c r="P97" s="1">
        <v>43454</v>
      </c>
      <c r="Q97">
        <v>4000000175</v>
      </c>
      <c r="R97" t="s">
        <v>34</v>
      </c>
      <c r="S97">
        <v>1</v>
      </c>
      <c r="T97">
        <v>541.71</v>
      </c>
      <c r="U97">
        <v>556.13</v>
      </c>
      <c r="V97">
        <v>541.71</v>
      </c>
      <c r="W97">
        <v>556.13</v>
      </c>
      <c r="X97">
        <v>767.69</v>
      </c>
      <c r="Y97">
        <v>767.69</v>
      </c>
      <c r="Z97" s="2">
        <v>-225.98</v>
      </c>
      <c r="AA97">
        <v>-211.56</v>
      </c>
    </row>
    <row r="98" spans="2:27" x14ac:dyDescent="0.25">
      <c r="B98">
        <v>100084829</v>
      </c>
      <c r="C98" t="s">
        <v>28</v>
      </c>
      <c r="D98" t="s">
        <v>29</v>
      </c>
      <c r="E98" t="s">
        <v>30</v>
      </c>
      <c r="F98">
        <v>100063196</v>
      </c>
      <c r="G98" t="s">
        <v>31</v>
      </c>
      <c r="H98" t="s">
        <v>29</v>
      </c>
      <c r="I98" t="s">
        <v>30</v>
      </c>
      <c r="J98">
        <v>10125123</v>
      </c>
      <c r="K98" t="s">
        <v>57</v>
      </c>
      <c r="L98" t="str">
        <f t="shared" si="7"/>
        <v>00517065001</v>
      </c>
      <c r="M98">
        <v>50002650</v>
      </c>
      <c r="N98" t="s">
        <v>58</v>
      </c>
      <c r="O98" t="str">
        <f>"0937776391"</f>
        <v>0937776391</v>
      </c>
      <c r="P98" s="1">
        <v>43255</v>
      </c>
      <c r="Q98">
        <v>4000000175</v>
      </c>
      <c r="R98" t="s">
        <v>34</v>
      </c>
      <c r="S98">
        <v>2</v>
      </c>
      <c r="T98">
        <v>540.96</v>
      </c>
      <c r="U98">
        <v>556.13</v>
      </c>
      <c r="V98">
        <v>1081.92</v>
      </c>
      <c r="W98">
        <v>1112.26</v>
      </c>
      <c r="X98">
        <v>767.69</v>
      </c>
      <c r="Y98">
        <v>1535.38</v>
      </c>
      <c r="Z98" s="2">
        <v>-453.46</v>
      </c>
      <c r="AA98">
        <v>-423.12</v>
      </c>
    </row>
    <row r="99" spans="2:27" x14ac:dyDescent="0.25">
      <c r="B99">
        <v>100084829</v>
      </c>
      <c r="C99" t="s">
        <v>28</v>
      </c>
      <c r="D99" t="s">
        <v>29</v>
      </c>
      <c r="E99" t="s">
        <v>30</v>
      </c>
      <c r="F99">
        <v>100063196</v>
      </c>
      <c r="G99" t="s">
        <v>31</v>
      </c>
      <c r="H99" t="s">
        <v>29</v>
      </c>
      <c r="I99" t="s">
        <v>30</v>
      </c>
      <c r="J99">
        <v>10135057</v>
      </c>
      <c r="K99" t="s">
        <v>59</v>
      </c>
      <c r="L99" t="str">
        <f>"55513092491"</f>
        <v>55513092491</v>
      </c>
      <c r="M99">
        <v>50001118</v>
      </c>
      <c r="N99" t="s">
        <v>38</v>
      </c>
      <c r="O99" t="str">
        <f>"0945721459"</f>
        <v>0945721459</v>
      </c>
      <c r="P99" s="1">
        <v>43433</v>
      </c>
      <c r="Q99">
        <v>2000021927</v>
      </c>
      <c r="R99" t="s">
        <v>60</v>
      </c>
      <c r="S99">
        <v>6</v>
      </c>
      <c r="T99">
        <v>51.49</v>
      </c>
      <c r="U99">
        <v>56.17</v>
      </c>
      <c r="V99">
        <v>308.94</v>
      </c>
      <c r="W99">
        <v>337.02</v>
      </c>
      <c r="X99">
        <v>306.67</v>
      </c>
      <c r="Y99">
        <v>1840.02</v>
      </c>
      <c r="Z99" s="2">
        <v>-1531.08</v>
      </c>
      <c r="AA99">
        <v>-1503</v>
      </c>
    </row>
    <row r="100" spans="2:27" x14ac:dyDescent="0.25">
      <c r="B100">
        <v>100084829</v>
      </c>
      <c r="C100" t="s">
        <v>28</v>
      </c>
      <c r="D100" t="s">
        <v>29</v>
      </c>
      <c r="E100" t="s">
        <v>30</v>
      </c>
      <c r="F100">
        <v>100063196</v>
      </c>
      <c r="G100" t="s">
        <v>31</v>
      </c>
      <c r="H100" t="s">
        <v>29</v>
      </c>
      <c r="I100" t="s">
        <v>30</v>
      </c>
      <c r="J100">
        <v>10135057</v>
      </c>
      <c r="K100" t="s">
        <v>59</v>
      </c>
      <c r="L100" t="str">
        <f>"55513092491"</f>
        <v>55513092491</v>
      </c>
      <c r="M100">
        <v>50001118</v>
      </c>
      <c r="N100" t="s">
        <v>38</v>
      </c>
      <c r="O100" t="str">
        <f>"0946712785"</f>
        <v>0946712785</v>
      </c>
      <c r="P100" s="1">
        <v>43454</v>
      </c>
      <c r="Q100">
        <v>2000021927</v>
      </c>
      <c r="R100" t="s">
        <v>60</v>
      </c>
      <c r="S100">
        <v>5</v>
      </c>
      <c r="T100">
        <v>51.49</v>
      </c>
      <c r="U100">
        <v>56.17</v>
      </c>
      <c r="V100">
        <v>257.45</v>
      </c>
      <c r="W100">
        <v>280.85000000000002</v>
      </c>
      <c r="X100">
        <v>306.67</v>
      </c>
      <c r="Y100">
        <v>1533.35</v>
      </c>
      <c r="Z100" s="2">
        <v>-1275.9000000000001</v>
      </c>
      <c r="AA100">
        <v>-1252.5</v>
      </c>
    </row>
    <row r="101" spans="2:27" x14ac:dyDescent="0.25">
      <c r="B101">
        <v>100084829</v>
      </c>
      <c r="C101" t="s">
        <v>28</v>
      </c>
      <c r="D101" t="s">
        <v>29</v>
      </c>
      <c r="E101" t="s">
        <v>30</v>
      </c>
      <c r="F101">
        <v>100063196</v>
      </c>
      <c r="G101" t="s">
        <v>31</v>
      </c>
      <c r="H101" t="s">
        <v>29</v>
      </c>
      <c r="I101" t="s">
        <v>30</v>
      </c>
      <c r="J101">
        <v>10135057</v>
      </c>
      <c r="K101" t="s">
        <v>59</v>
      </c>
      <c r="L101" t="str">
        <f>"55513092491"</f>
        <v>55513092491</v>
      </c>
      <c r="M101">
        <v>50001118</v>
      </c>
      <c r="N101" t="s">
        <v>38</v>
      </c>
      <c r="O101" t="str">
        <f>"0946725459"</f>
        <v>0946725459</v>
      </c>
      <c r="P101" s="1">
        <v>43454</v>
      </c>
      <c r="Q101">
        <v>2000021927</v>
      </c>
      <c r="R101" t="s">
        <v>60</v>
      </c>
      <c r="S101">
        <v>5</v>
      </c>
      <c r="T101">
        <v>51.49</v>
      </c>
      <c r="U101">
        <v>56.17</v>
      </c>
      <c r="V101">
        <v>257.45</v>
      </c>
      <c r="W101">
        <v>280.85000000000002</v>
      </c>
      <c r="X101">
        <v>306.67</v>
      </c>
      <c r="Y101">
        <v>1533.35</v>
      </c>
      <c r="Z101" s="2">
        <v>-1275.9000000000001</v>
      </c>
      <c r="AA101">
        <v>-1252.5</v>
      </c>
    </row>
    <row r="102" spans="2:27" x14ac:dyDescent="0.25">
      <c r="B102">
        <v>100084829</v>
      </c>
      <c r="C102" t="s">
        <v>28</v>
      </c>
      <c r="D102" t="s">
        <v>29</v>
      </c>
      <c r="E102" t="s">
        <v>30</v>
      </c>
      <c r="F102">
        <v>100063196</v>
      </c>
      <c r="G102" t="s">
        <v>31</v>
      </c>
      <c r="H102" t="s">
        <v>29</v>
      </c>
      <c r="I102" t="s">
        <v>30</v>
      </c>
      <c r="J102">
        <v>10135057</v>
      </c>
      <c r="K102" t="s">
        <v>59</v>
      </c>
      <c r="L102" t="str">
        <f>"55513092491"</f>
        <v>55513092491</v>
      </c>
      <c r="M102">
        <v>50001118</v>
      </c>
      <c r="N102" t="s">
        <v>38</v>
      </c>
      <c r="O102" t="str">
        <f>"0946063877"</f>
        <v>0946063877</v>
      </c>
      <c r="P102" s="1">
        <v>43440</v>
      </c>
      <c r="Q102">
        <v>2000021927</v>
      </c>
      <c r="R102" t="s">
        <v>60</v>
      </c>
      <c r="S102">
        <v>5</v>
      </c>
      <c r="T102">
        <v>51.49</v>
      </c>
      <c r="U102">
        <v>56.17</v>
      </c>
      <c r="V102">
        <v>257.45</v>
      </c>
      <c r="W102">
        <v>280.85000000000002</v>
      </c>
      <c r="X102">
        <v>306.67</v>
      </c>
      <c r="Y102">
        <v>1533.35</v>
      </c>
      <c r="Z102" s="2">
        <v>-1275.9000000000001</v>
      </c>
      <c r="AA102">
        <v>-1252.5</v>
      </c>
    </row>
    <row r="103" spans="2:27" x14ac:dyDescent="0.25">
      <c r="B103">
        <v>100084829</v>
      </c>
      <c r="C103" t="s">
        <v>28</v>
      </c>
      <c r="D103" t="s">
        <v>29</v>
      </c>
      <c r="E103" t="s">
        <v>30</v>
      </c>
      <c r="F103">
        <v>100063196</v>
      </c>
      <c r="G103" t="s">
        <v>31</v>
      </c>
      <c r="H103" t="s">
        <v>29</v>
      </c>
      <c r="I103" t="s">
        <v>30</v>
      </c>
      <c r="J103">
        <v>10135058</v>
      </c>
      <c r="K103" t="s">
        <v>61</v>
      </c>
      <c r="L103" t="str">
        <f t="shared" ref="L103:L108" si="8">"55513020991"</f>
        <v>55513020991</v>
      </c>
      <c r="M103">
        <v>50001118</v>
      </c>
      <c r="N103" t="s">
        <v>38</v>
      </c>
      <c r="O103" t="str">
        <f>"0943068547"</f>
        <v>0943068547</v>
      </c>
      <c r="P103" s="1">
        <v>43374</v>
      </c>
      <c r="Q103">
        <v>2000021927</v>
      </c>
      <c r="R103" t="s">
        <v>60</v>
      </c>
      <c r="S103">
        <v>7</v>
      </c>
      <c r="T103">
        <v>95.53</v>
      </c>
      <c r="U103">
        <v>103.19</v>
      </c>
      <c r="V103">
        <v>668.71</v>
      </c>
      <c r="W103">
        <v>722.33</v>
      </c>
      <c r="X103">
        <v>488.38</v>
      </c>
      <c r="Y103">
        <v>3418.66</v>
      </c>
      <c r="Z103" s="2">
        <v>-2749.95</v>
      </c>
      <c r="AA103">
        <v>-2696.33</v>
      </c>
    </row>
    <row r="104" spans="2:27" x14ac:dyDescent="0.25">
      <c r="B104">
        <v>100084829</v>
      </c>
      <c r="C104" t="s">
        <v>28</v>
      </c>
      <c r="D104" t="s">
        <v>29</v>
      </c>
      <c r="E104" t="s">
        <v>30</v>
      </c>
      <c r="F104">
        <v>100063196</v>
      </c>
      <c r="G104" t="s">
        <v>31</v>
      </c>
      <c r="H104" t="s">
        <v>29</v>
      </c>
      <c r="I104" t="s">
        <v>30</v>
      </c>
      <c r="J104">
        <v>10135058</v>
      </c>
      <c r="K104" t="s">
        <v>61</v>
      </c>
      <c r="L104" t="str">
        <f t="shared" si="8"/>
        <v>55513020991</v>
      </c>
      <c r="M104">
        <v>50001118</v>
      </c>
      <c r="N104" t="s">
        <v>38</v>
      </c>
      <c r="O104" t="str">
        <f>"0937321347"</f>
        <v>0937321347</v>
      </c>
      <c r="P104" s="1">
        <v>43244</v>
      </c>
      <c r="Q104">
        <v>3000027308</v>
      </c>
      <c r="R104" t="s">
        <v>62</v>
      </c>
      <c r="S104">
        <v>6</v>
      </c>
      <c r="T104">
        <v>123.95</v>
      </c>
      <c r="U104">
        <v>103.19</v>
      </c>
      <c r="V104">
        <v>743.7</v>
      </c>
      <c r="W104">
        <v>619.14</v>
      </c>
      <c r="X104">
        <v>488.38</v>
      </c>
      <c r="Y104">
        <v>2930.28</v>
      </c>
      <c r="Z104" s="2">
        <v>-2186.58</v>
      </c>
      <c r="AA104">
        <v>-2311.14</v>
      </c>
    </row>
    <row r="105" spans="2:27" x14ac:dyDescent="0.25">
      <c r="B105">
        <v>100084829</v>
      </c>
      <c r="C105" t="s">
        <v>28</v>
      </c>
      <c r="D105" t="s">
        <v>29</v>
      </c>
      <c r="E105" t="s">
        <v>30</v>
      </c>
      <c r="F105">
        <v>100063196</v>
      </c>
      <c r="G105" t="s">
        <v>31</v>
      </c>
      <c r="H105" t="s">
        <v>29</v>
      </c>
      <c r="I105" t="s">
        <v>30</v>
      </c>
      <c r="J105">
        <v>10135058</v>
      </c>
      <c r="K105" t="s">
        <v>61</v>
      </c>
      <c r="L105" t="str">
        <f t="shared" si="8"/>
        <v>55513020991</v>
      </c>
      <c r="M105">
        <v>50001118</v>
      </c>
      <c r="N105" t="s">
        <v>38</v>
      </c>
      <c r="O105" t="str">
        <f>"0938692639"</f>
        <v>0938692639</v>
      </c>
      <c r="P105" s="1">
        <v>43276</v>
      </c>
      <c r="Q105">
        <v>3000027308</v>
      </c>
      <c r="R105" t="s">
        <v>62</v>
      </c>
      <c r="S105">
        <v>8</v>
      </c>
      <c r="T105">
        <v>123.95</v>
      </c>
      <c r="U105">
        <v>103.19</v>
      </c>
      <c r="V105">
        <v>991.6</v>
      </c>
      <c r="W105">
        <v>825.52</v>
      </c>
      <c r="X105">
        <v>488.38</v>
      </c>
      <c r="Y105">
        <v>3907.04</v>
      </c>
      <c r="Z105" s="2">
        <v>-2915.44</v>
      </c>
      <c r="AA105">
        <v>-3081.52</v>
      </c>
    </row>
    <row r="106" spans="2:27" x14ac:dyDescent="0.25">
      <c r="B106">
        <v>100084829</v>
      </c>
      <c r="C106" t="s">
        <v>28</v>
      </c>
      <c r="D106" t="s">
        <v>29</v>
      </c>
      <c r="E106" t="s">
        <v>30</v>
      </c>
      <c r="F106">
        <v>100063196</v>
      </c>
      <c r="G106" t="s">
        <v>31</v>
      </c>
      <c r="H106" t="s">
        <v>29</v>
      </c>
      <c r="I106" t="s">
        <v>30</v>
      </c>
      <c r="J106">
        <v>10135058</v>
      </c>
      <c r="K106" t="s">
        <v>61</v>
      </c>
      <c r="L106" t="str">
        <f t="shared" si="8"/>
        <v>55513020991</v>
      </c>
      <c r="M106">
        <v>50001118</v>
      </c>
      <c r="N106" t="s">
        <v>38</v>
      </c>
      <c r="O106" t="str">
        <f>"0941949983"</f>
        <v>0941949983</v>
      </c>
      <c r="P106" s="1">
        <v>43349</v>
      </c>
      <c r="Q106">
        <v>2000021927</v>
      </c>
      <c r="R106" t="s">
        <v>60</v>
      </c>
      <c r="S106">
        <v>5</v>
      </c>
      <c r="T106">
        <v>95.53</v>
      </c>
      <c r="U106">
        <v>103.19</v>
      </c>
      <c r="V106">
        <v>477.65</v>
      </c>
      <c r="W106">
        <v>515.95000000000005</v>
      </c>
      <c r="X106">
        <v>488.38</v>
      </c>
      <c r="Y106">
        <v>2441.9</v>
      </c>
      <c r="Z106" s="2">
        <v>-1964.25</v>
      </c>
      <c r="AA106">
        <v>-1925.95</v>
      </c>
    </row>
    <row r="107" spans="2:27" x14ac:dyDescent="0.25">
      <c r="B107">
        <v>100084829</v>
      </c>
      <c r="C107" t="s">
        <v>28</v>
      </c>
      <c r="D107" t="s">
        <v>29</v>
      </c>
      <c r="E107" t="s">
        <v>30</v>
      </c>
      <c r="F107">
        <v>100063196</v>
      </c>
      <c r="G107" t="s">
        <v>31</v>
      </c>
      <c r="H107" t="s">
        <v>29</v>
      </c>
      <c r="I107" t="s">
        <v>30</v>
      </c>
      <c r="J107">
        <v>10135058</v>
      </c>
      <c r="K107" t="s">
        <v>61</v>
      </c>
      <c r="L107" t="str">
        <f t="shared" si="8"/>
        <v>55513020991</v>
      </c>
      <c r="M107">
        <v>50001118</v>
      </c>
      <c r="N107" t="s">
        <v>38</v>
      </c>
      <c r="O107" t="str">
        <f>"0937586526"</f>
        <v>0937586526</v>
      </c>
      <c r="P107" s="1">
        <v>43251</v>
      </c>
      <c r="Q107">
        <v>3000027308</v>
      </c>
      <c r="R107" t="s">
        <v>62</v>
      </c>
      <c r="S107">
        <v>10</v>
      </c>
      <c r="T107">
        <v>123.95</v>
      </c>
      <c r="U107">
        <v>103.19</v>
      </c>
      <c r="V107">
        <v>1239.5</v>
      </c>
      <c r="W107">
        <v>1031.9000000000001</v>
      </c>
      <c r="X107">
        <v>488.38</v>
      </c>
      <c r="Y107">
        <v>4883.8</v>
      </c>
      <c r="Z107" s="2">
        <v>-3644.3</v>
      </c>
      <c r="AA107">
        <v>-3851.9</v>
      </c>
    </row>
    <row r="108" spans="2:27" x14ac:dyDescent="0.25">
      <c r="B108">
        <v>100084829</v>
      </c>
      <c r="C108" t="s">
        <v>28</v>
      </c>
      <c r="D108" t="s">
        <v>29</v>
      </c>
      <c r="E108" t="s">
        <v>30</v>
      </c>
      <c r="F108">
        <v>100063196</v>
      </c>
      <c r="G108" t="s">
        <v>31</v>
      </c>
      <c r="H108" t="s">
        <v>29</v>
      </c>
      <c r="I108" t="s">
        <v>30</v>
      </c>
      <c r="J108">
        <v>10135058</v>
      </c>
      <c r="K108" t="s">
        <v>61</v>
      </c>
      <c r="L108" t="str">
        <f t="shared" si="8"/>
        <v>55513020991</v>
      </c>
      <c r="M108">
        <v>50001118</v>
      </c>
      <c r="N108" t="s">
        <v>38</v>
      </c>
      <c r="O108" t="str">
        <f>"0937149823"</f>
        <v>0937149823</v>
      </c>
      <c r="P108" s="1">
        <v>43241</v>
      </c>
      <c r="Q108">
        <v>3000027308</v>
      </c>
      <c r="R108" t="s">
        <v>62</v>
      </c>
      <c r="S108">
        <v>1</v>
      </c>
      <c r="T108">
        <v>123.95</v>
      </c>
      <c r="U108">
        <v>103.19</v>
      </c>
      <c r="V108">
        <v>123.95</v>
      </c>
      <c r="W108">
        <v>103.19</v>
      </c>
      <c r="X108">
        <v>488.38</v>
      </c>
      <c r="Y108">
        <v>488.38</v>
      </c>
      <c r="Z108" s="2">
        <v>-364.43</v>
      </c>
      <c r="AA108">
        <v>-385.19</v>
      </c>
    </row>
    <row r="109" spans="2:27" x14ac:dyDescent="0.25">
      <c r="B109">
        <v>100084829</v>
      </c>
      <c r="C109" t="s">
        <v>28</v>
      </c>
      <c r="D109" t="s">
        <v>29</v>
      </c>
      <c r="E109" t="s">
        <v>30</v>
      </c>
      <c r="F109">
        <v>100063196</v>
      </c>
      <c r="G109" t="s">
        <v>31</v>
      </c>
      <c r="H109" t="s">
        <v>29</v>
      </c>
      <c r="I109" t="s">
        <v>30</v>
      </c>
      <c r="J109">
        <v>10016961</v>
      </c>
      <c r="K109" t="s">
        <v>63</v>
      </c>
      <c r="L109" t="str">
        <f>"59676031001"</f>
        <v>59676031001</v>
      </c>
      <c r="M109">
        <v>50000511</v>
      </c>
      <c r="N109" t="s">
        <v>64</v>
      </c>
      <c r="O109" t="str">
        <f>"0944019208"</f>
        <v>0944019208</v>
      </c>
      <c r="P109" s="1">
        <v>43395</v>
      </c>
      <c r="Q109">
        <v>2000023285</v>
      </c>
      <c r="R109" t="s">
        <v>65</v>
      </c>
      <c r="S109">
        <v>1</v>
      </c>
      <c r="T109">
        <v>424.81</v>
      </c>
      <c r="U109">
        <v>424.81</v>
      </c>
      <c r="V109">
        <v>424.81</v>
      </c>
      <c r="W109">
        <v>424.81</v>
      </c>
      <c r="X109">
        <v>766.64</v>
      </c>
      <c r="Y109">
        <v>766.64</v>
      </c>
      <c r="Z109" s="2">
        <v>-341.83</v>
      </c>
      <c r="AA109">
        <v>-341.83</v>
      </c>
    </row>
    <row r="110" spans="2:27" x14ac:dyDescent="0.25">
      <c r="B110">
        <v>100084829</v>
      </c>
      <c r="C110" t="s">
        <v>28</v>
      </c>
      <c r="D110" t="s">
        <v>29</v>
      </c>
      <c r="E110" t="s">
        <v>30</v>
      </c>
      <c r="F110">
        <v>100063196</v>
      </c>
      <c r="G110" t="s">
        <v>31</v>
      </c>
      <c r="H110" t="s">
        <v>29</v>
      </c>
      <c r="I110" t="s">
        <v>30</v>
      </c>
      <c r="J110">
        <v>10016961</v>
      </c>
      <c r="K110" t="s">
        <v>63</v>
      </c>
      <c r="L110" t="str">
        <f>"59676031001"</f>
        <v>59676031001</v>
      </c>
      <c r="M110">
        <v>50000511</v>
      </c>
      <c r="N110" t="s">
        <v>64</v>
      </c>
      <c r="O110" t="str">
        <f>"0940559746"</f>
        <v>0940559746</v>
      </c>
      <c r="P110" s="1">
        <v>43318</v>
      </c>
      <c r="Q110">
        <v>2000023285</v>
      </c>
      <c r="R110" t="s">
        <v>65</v>
      </c>
      <c r="S110">
        <v>1</v>
      </c>
      <c r="T110">
        <v>424.81</v>
      </c>
      <c r="U110">
        <v>424.81</v>
      </c>
      <c r="V110">
        <v>424.81</v>
      </c>
      <c r="W110">
        <v>424.81</v>
      </c>
      <c r="X110">
        <v>766.64</v>
      </c>
      <c r="Y110">
        <v>766.64</v>
      </c>
      <c r="Z110" s="2">
        <v>-341.83</v>
      </c>
      <c r="AA110">
        <v>-341.83</v>
      </c>
    </row>
    <row r="111" spans="2:27" x14ac:dyDescent="0.25">
      <c r="B111">
        <v>100084829</v>
      </c>
      <c r="C111" t="s">
        <v>28</v>
      </c>
      <c r="D111" t="s">
        <v>29</v>
      </c>
      <c r="E111" t="s">
        <v>30</v>
      </c>
      <c r="F111">
        <v>100063196</v>
      </c>
      <c r="G111" t="s">
        <v>31</v>
      </c>
      <c r="H111" t="s">
        <v>29</v>
      </c>
      <c r="I111" t="s">
        <v>30</v>
      </c>
      <c r="J111">
        <v>10016961</v>
      </c>
      <c r="K111" t="s">
        <v>63</v>
      </c>
      <c r="L111" t="str">
        <f>"59676031001"</f>
        <v>59676031001</v>
      </c>
      <c r="M111">
        <v>50000511</v>
      </c>
      <c r="N111" t="s">
        <v>64</v>
      </c>
      <c r="O111" t="str">
        <f>"0942743564"</f>
        <v>0942743564</v>
      </c>
      <c r="P111" s="1">
        <v>43367</v>
      </c>
      <c r="Q111">
        <v>2000023285</v>
      </c>
      <c r="R111" t="s">
        <v>65</v>
      </c>
      <c r="S111">
        <v>1</v>
      </c>
      <c r="T111">
        <v>424.81</v>
      </c>
      <c r="U111">
        <v>424.81</v>
      </c>
      <c r="V111">
        <v>424.81</v>
      </c>
      <c r="W111">
        <v>424.81</v>
      </c>
      <c r="X111">
        <v>766.64</v>
      </c>
      <c r="Y111">
        <v>766.64</v>
      </c>
      <c r="Z111" s="2">
        <v>-341.83</v>
      </c>
      <c r="AA111">
        <v>-341.83</v>
      </c>
    </row>
    <row r="112" spans="2:27" x14ac:dyDescent="0.25">
      <c r="B112">
        <v>100084829</v>
      </c>
      <c r="C112" t="s">
        <v>28</v>
      </c>
      <c r="D112" t="s">
        <v>29</v>
      </c>
      <c r="E112" t="s">
        <v>30</v>
      </c>
      <c r="F112">
        <v>100063196</v>
      </c>
      <c r="G112" t="s">
        <v>31</v>
      </c>
      <c r="H112" t="s">
        <v>29</v>
      </c>
      <c r="I112" t="s">
        <v>30</v>
      </c>
      <c r="J112">
        <v>10030144</v>
      </c>
      <c r="K112" t="s">
        <v>66</v>
      </c>
      <c r="L112" t="str">
        <f>"59676034001"</f>
        <v>59676034001</v>
      </c>
      <c r="M112">
        <v>50000511</v>
      </c>
      <c r="N112" t="s">
        <v>64</v>
      </c>
      <c r="O112" t="str">
        <f>"0941375718"</f>
        <v>0941375718</v>
      </c>
      <c r="P112" s="1">
        <v>43335</v>
      </c>
      <c r="Q112">
        <v>2000023285</v>
      </c>
      <c r="R112" t="s">
        <v>65</v>
      </c>
      <c r="S112">
        <v>1</v>
      </c>
      <c r="T112">
        <v>1132.8599999999999</v>
      </c>
      <c r="U112">
        <v>1132.8599999999999</v>
      </c>
      <c r="V112">
        <v>1132.8599999999999</v>
      </c>
      <c r="W112">
        <v>1132.8599999999999</v>
      </c>
      <c r="X112">
        <v>2044.33</v>
      </c>
      <c r="Y112">
        <v>2044.33</v>
      </c>
      <c r="Z112" s="2">
        <v>-911.47</v>
      </c>
      <c r="AA112">
        <v>-911.47</v>
      </c>
    </row>
    <row r="113" spans="2:27" x14ac:dyDescent="0.25">
      <c r="B113">
        <v>100084829</v>
      </c>
      <c r="C113" t="s">
        <v>28</v>
      </c>
      <c r="D113" t="s">
        <v>29</v>
      </c>
      <c r="E113" t="s">
        <v>30</v>
      </c>
      <c r="F113">
        <v>100063196</v>
      </c>
      <c r="G113" t="s">
        <v>31</v>
      </c>
      <c r="H113" t="s">
        <v>29</v>
      </c>
      <c r="I113" t="s">
        <v>30</v>
      </c>
      <c r="J113">
        <v>10030144</v>
      </c>
      <c r="K113" t="s">
        <v>66</v>
      </c>
      <c r="L113" t="str">
        <f>"59676034001"</f>
        <v>59676034001</v>
      </c>
      <c r="M113">
        <v>50000511</v>
      </c>
      <c r="N113" t="s">
        <v>64</v>
      </c>
      <c r="O113" t="str">
        <f>"0942285625"</f>
        <v>0942285625</v>
      </c>
      <c r="P113" s="1">
        <v>43356</v>
      </c>
      <c r="Q113">
        <v>2000023285</v>
      </c>
      <c r="R113" t="s">
        <v>65</v>
      </c>
      <c r="S113">
        <v>1</v>
      </c>
      <c r="T113">
        <v>1132.8599999999999</v>
      </c>
      <c r="U113">
        <v>1132.8599999999999</v>
      </c>
      <c r="V113">
        <v>1132.8599999999999</v>
      </c>
      <c r="W113">
        <v>1132.8599999999999</v>
      </c>
      <c r="X113">
        <v>2044.33</v>
      </c>
      <c r="Y113">
        <v>2044.33</v>
      </c>
      <c r="Z113" s="2">
        <v>-911.47</v>
      </c>
      <c r="AA113">
        <v>-911.47</v>
      </c>
    </row>
    <row r="114" spans="2:27" x14ac:dyDescent="0.25">
      <c r="B114">
        <v>100084829</v>
      </c>
      <c r="C114" t="s">
        <v>28</v>
      </c>
      <c r="D114" t="s">
        <v>29</v>
      </c>
      <c r="E114" t="s">
        <v>30</v>
      </c>
      <c r="F114">
        <v>100063196</v>
      </c>
      <c r="G114" t="s">
        <v>31</v>
      </c>
      <c r="H114" t="s">
        <v>29</v>
      </c>
      <c r="I114" t="s">
        <v>30</v>
      </c>
      <c r="J114">
        <v>10010416</v>
      </c>
      <c r="K114" t="s">
        <v>67</v>
      </c>
      <c r="L114" t="str">
        <f t="shared" ref="L114:L126" si="9">"55513071001"</f>
        <v>55513071001</v>
      </c>
      <c r="M114">
        <v>50001118</v>
      </c>
      <c r="N114" t="s">
        <v>38</v>
      </c>
      <c r="O114" t="str">
        <f>"0934000771"</f>
        <v>0934000771</v>
      </c>
      <c r="P114" s="1">
        <v>43174</v>
      </c>
      <c r="Q114">
        <v>3000015869</v>
      </c>
      <c r="R114" t="s">
        <v>39</v>
      </c>
      <c r="S114">
        <v>8</v>
      </c>
      <c r="T114">
        <v>666.58</v>
      </c>
      <c r="U114">
        <v>642.30999999999995</v>
      </c>
      <c r="V114">
        <v>5332.64</v>
      </c>
      <c r="W114">
        <v>5138.4799999999996</v>
      </c>
      <c r="X114">
        <v>1088.75</v>
      </c>
      <c r="Y114">
        <v>8710</v>
      </c>
      <c r="Z114" s="2">
        <v>-3377.36</v>
      </c>
      <c r="AA114">
        <v>-3571.52</v>
      </c>
    </row>
    <row r="115" spans="2:27" x14ac:dyDescent="0.25">
      <c r="B115">
        <v>100084829</v>
      </c>
      <c r="C115" t="s">
        <v>28</v>
      </c>
      <c r="D115" t="s">
        <v>29</v>
      </c>
      <c r="E115" t="s">
        <v>30</v>
      </c>
      <c r="F115">
        <v>100063196</v>
      </c>
      <c r="G115" t="s">
        <v>31</v>
      </c>
      <c r="H115" t="s">
        <v>29</v>
      </c>
      <c r="I115" t="s">
        <v>30</v>
      </c>
      <c r="J115">
        <v>10010416</v>
      </c>
      <c r="K115" t="s">
        <v>67</v>
      </c>
      <c r="L115" t="str">
        <f t="shared" si="9"/>
        <v>55513071001</v>
      </c>
      <c r="M115">
        <v>50001118</v>
      </c>
      <c r="N115" t="s">
        <v>38</v>
      </c>
      <c r="O115" t="str">
        <f>"0946063877"</f>
        <v>0946063877</v>
      </c>
      <c r="P115" s="1">
        <v>43440</v>
      </c>
      <c r="Q115">
        <v>3000015869</v>
      </c>
      <c r="R115" t="s">
        <v>39</v>
      </c>
      <c r="S115">
        <v>2</v>
      </c>
      <c r="T115">
        <v>633.82000000000005</v>
      </c>
      <c r="U115">
        <v>642.30999999999995</v>
      </c>
      <c r="V115">
        <v>1267.6400000000001</v>
      </c>
      <c r="W115">
        <v>1284.6199999999999</v>
      </c>
      <c r="X115">
        <v>1088.75</v>
      </c>
      <c r="Y115">
        <v>2177.5</v>
      </c>
      <c r="Z115" s="2">
        <v>-909.86</v>
      </c>
      <c r="AA115">
        <v>-892.88</v>
      </c>
    </row>
    <row r="116" spans="2:27" x14ac:dyDescent="0.25">
      <c r="B116">
        <v>100084829</v>
      </c>
      <c r="C116" t="s">
        <v>28</v>
      </c>
      <c r="D116" t="s">
        <v>29</v>
      </c>
      <c r="E116" t="s">
        <v>30</v>
      </c>
      <c r="F116">
        <v>100063196</v>
      </c>
      <c r="G116" t="s">
        <v>31</v>
      </c>
      <c r="H116" t="s">
        <v>29</v>
      </c>
      <c r="I116" t="s">
        <v>30</v>
      </c>
      <c r="J116">
        <v>10010416</v>
      </c>
      <c r="K116" t="s">
        <v>67</v>
      </c>
      <c r="L116" t="str">
        <f t="shared" si="9"/>
        <v>55513071001</v>
      </c>
      <c r="M116">
        <v>50001118</v>
      </c>
      <c r="N116" t="s">
        <v>38</v>
      </c>
      <c r="O116" t="str">
        <f>"0944019208"</f>
        <v>0944019208</v>
      </c>
      <c r="P116" s="1">
        <v>43395</v>
      </c>
      <c r="Q116">
        <v>3000015869</v>
      </c>
      <c r="R116" t="s">
        <v>39</v>
      </c>
      <c r="S116">
        <v>4</v>
      </c>
      <c r="T116">
        <v>633.82000000000005</v>
      </c>
      <c r="U116">
        <v>642.30999999999995</v>
      </c>
      <c r="V116">
        <v>2535.2800000000002</v>
      </c>
      <c r="W116">
        <v>2569.2399999999998</v>
      </c>
      <c r="X116">
        <v>1088.75</v>
      </c>
      <c r="Y116">
        <v>4355</v>
      </c>
      <c r="Z116" s="2">
        <v>-1819.72</v>
      </c>
      <c r="AA116">
        <v>-1785.76</v>
      </c>
    </row>
    <row r="117" spans="2:27" x14ac:dyDescent="0.25">
      <c r="B117">
        <v>100084829</v>
      </c>
      <c r="C117" t="s">
        <v>28</v>
      </c>
      <c r="D117" t="s">
        <v>29</v>
      </c>
      <c r="E117" t="s">
        <v>30</v>
      </c>
      <c r="F117">
        <v>100063196</v>
      </c>
      <c r="G117" t="s">
        <v>31</v>
      </c>
      <c r="H117" t="s">
        <v>29</v>
      </c>
      <c r="I117" t="s">
        <v>30</v>
      </c>
      <c r="J117">
        <v>10010416</v>
      </c>
      <c r="K117" t="s">
        <v>67</v>
      </c>
      <c r="L117" t="str">
        <f t="shared" si="9"/>
        <v>55513071001</v>
      </c>
      <c r="M117">
        <v>50001118</v>
      </c>
      <c r="N117" t="s">
        <v>38</v>
      </c>
      <c r="O117" t="str">
        <f>"0941063375"</f>
        <v>0941063375</v>
      </c>
      <c r="P117" s="1">
        <v>43328</v>
      </c>
      <c r="Q117">
        <v>3000015869</v>
      </c>
      <c r="R117" t="s">
        <v>39</v>
      </c>
      <c r="S117">
        <v>4</v>
      </c>
      <c r="T117">
        <v>625.14</v>
      </c>
      <c r="U117">
        <v>642.30999999999995</v>
      </c>
      <c r="V117">
        <v>2500.56</v>
      </c>
      <c r="W117">
        <v>2569.2399999999998</v>
      </c>
      <c r="X117">
        <v>1088.75</v>
      </c>
      <c r="Y117">
        <v>4355</v>
      </c>
      <c r="Z117" s="2">
        <v>-1854.44</v>
      </c>
      <c r="AA117">
        <v>-1785.76</v>
      </c>
    </row>
    <row r="118" spans="2:27" x14ac:dyDescent="0.25">
      <c r="B118">
        <v>100084829</v>
      </c>
      <c r="C118" t="s">
        <v>28</v>
      </c>
      <c r="D118" t="s">
        <v>29</v>
      </c>
      <c r="E118" t="s">
        <v>30</v>
      </c>
      <c r="F118">
        <v>100063196</v>
      </c>
      <c r="G118" t="s">
        <v>31</v>
      </c>
      <c r="H118" t="s">
        <v>29</v>
      </c>
      <c r="I118" t="s">
        <v>30</v>
      </c>
      <c r="J118">
        <v>10010416</v>
      </c>
      <c r="K118" t="s">
        <v>67</v>
      </c>
      <c r="L118" t="str">
        <f t="shared" si="9"/>
        <v>55513071001</v>
      </c>
      <c r="M118">
        <v>50001118</v>
      </c>
      <c r="N118" t="s">
        <v>38</v>
      </c>
      <c r="O118" t="str">
        <f>"0935728914"</f>
        <v>0935728914</v>
      </c>
      <c r="P118" s="1">
        <v>43209</v>
      </c>
      <c r="Q118">
        <v>3000015869</v>
      </c>
      <c r="R118" t="s">
        <v>39</v>
      </c>
      <c r="S118">
        <v>4</v>
      </c>
      <c r="T118">
        <v>634.02</v>
      </c>
      <c r="U118">
        <v>642.30999999999995</v>
      </c>
      <c r="V118">
        <v>2536.08</v>
      </c>
      <c r="W118">
        <v>2569.2399999999998</v>
      </c>
      <c r="X118">
        <v>1088.75</v>
      </c>
      <c r="Y118">
        <v>4355</v>
      </c>
      <c r="Z118" s="2">
        <v>-1818.92</v>
      </c>
      <c r="AA118">
        <v>-1785.76</v>
      </c>
    </row>
    <row r="119" spans="2:27" x14ac:dyDescent="0.25">
      <c r="B119">
        <v>100084829</v>
      </c>
      <c r="C119" t="s">
        <v>28</v>
      </c>
      <c r="D119" t="s">
        <v>29</v>
      </c>
      <c r="E119" t="s">
        <v>30</v>
      </c>
      <c r="F119">
        <v>100063196</v>
      </c>
      <c r="G119" t="s">
        <v>31</v>
      </c>
      <c r="H119" t="s">
        <v>29</v>
      </c>
      <c r="I119" t="s">
        <v>30</v>
      </c>
      <c r="J119">
        <v>10010416</v>
      </c>
      <c r="K119" t="s">
        <v>67</v>
      </c>
      <c r="L119" t="str">
        <f t="shared" si="9"/>
        <v>55513071001</v>
      </c>
      <c r="M119">
        <v>50001118</v>
      </c>
      <c r="N119" t="s">
        <v>38</v>
      </c>
      <c r="O119" t="str">
        <f>"0939784452"</f>
        <v>0939784452</v>
      </c>
      <c r="P119" s="1">
        <v>43300</v>
      </c>
      <c r="Q119">
        <v>3000015869</v>
      </c>
      <c r="R119" t="s">
        <v>39</v>
      </c>
      <c r="S119">
        <v>4</v>
      </c>
      <c r="T119">
        <v>625.14</v>
      </c>
      <c r="U119">
        <v>642.30999999999995</v>
      </c>
      <c r="V119">
        <v>2500.56</v>
      </c>
      <c r="W119">
        <v>2569.2399999999998</v>
      </c>
      <c r="X119">
        <v>1088.75</v>
      </c>
      <c r="Y119">
        <v>4355</v>
      </c>
      <c r="Z119" s="2">
        <v>-1854.44</v>
      </c>
      <c r="AA119">
        <v>-1785.76</v>
      </c>
    </row>
    <row r="120" spans="2:27" x14ac:dyDescent="0.25">
      <c r="B120">
        <v>100084829</v>
      </c>
      <c r="C120" t="s">
        <v>28</v>
      </c>
      <c r="D120" t="s">
        <v>29</v>
      </c>
      <c r="E120" t="s">
        <v>30</v>
      </c>
      <c r="F120">
        <v>100063196</v>
      </c>
      <c r="G120" t="s">
        <v>31</v>
      </c>
      <c r="H120" t="s">
        <v>29</v>
      </c>
      <c r="I120" t="s">
        <v>30</v>
      </c>
      <c r="J120">
        <v>10010416</v>
      </c>
      <c r="K120" t="s">
        <v>67</v>
      </c>
      <c r="L120" t="str">
        <f t="shared" si="9"/>
        <v>55513071001</v>
      </c>
      <c r="M120">
        <v>50001118</v>
      </c>
      <c r="N120" t="s">
        <v>38</v>
      </c>
      <c r="O120" t="str">
        <f>"0931609309"</f>
        <v>0931609309</v>
      </c>
      <c r="P120" s="1">
        <v>43129</v>
      </c>
      <c r="Q120">
        <v>3000015869</v>
      </c>
      <c r="R120" t="s">
        <v>39</v>
      </c>
      <c r="S120">
        <v>4</v>
      </c>
      <c r="T120">
        <v>666.58</v>
      </c>
      <c r="U120">
        <v>642.30999999999995</v>
      </c>
      <c r="V120">
        <v>2666.32</v>
      </c>
      <c r="W120">
        <v>2569.2399999999998</v>
      </c>
      <c r="X120">
        <v>1088.75</v>
      </c>
      <c r="Y120">
        <v>4355</v>
      </c>
      <c r="Z120" s="2">
        <v>-1688.68</v>
      </c>
      <c r="AA120">
        <v>-1785.76</v>
      </c>
    </row>
    <row r="121" spans="2:27" x14ac:dyDescent="0.25">
      <c r="B121">
        <v>100084829</v>
      </c>
      <c r="C121" t="s">
        <v>28</v>
      </c>
      <c r="D121" t="s">
        <v>29</v>
      </c>
      <c r="E121" t="s">
        <v>30</v>
      </c>
      <c r="F121">
        <v>100063196</v>
      </c>
      <c r="G121" t="s">
        <v>31</v>
      </c>
      <c r="H121" t="s">
        <v>29</v>
      </c>
      <c r="I121" t="s">
        <v>30</v>
      </c>
      <c r="J121">
        <v>10010416</v>
      </c>
      <c r="K121" t="s">
        <v>67</v>
      </c>
      <c r="L121" t="str">
        <f t="shared" si="9"/>
        <v>55513071001</v>
      </c>
      <c r="M121">
        <v>50001118</v>
      </c>
      <c r="N121" t="s">
        <v>38</v>
      </c>
      <c r="O121" t="str">
        <f>"0930771417"</f>
        <v>0930771417</v>
      </c>
      <c r="P121" s="1">
        <v>43111</v>
      </c>
      <c r="Q121">
        <v>3000015869</v>
      </c>
      <c r="R121" t="s">
        <v>39</v>
      </c>
      <c r="S121">
        <v>4</v>
      </c>
      <c r="T121">
        <v>666.58</v>
      </c>
      <c r="U121">
        <v>642.30999999999995</v>
      </c>
      <c r="V121">
        <v>2666.32</v>
      </c>
      <c r="W121">
        <v>2569.2399999999998</v>
      </c>
      <c r="X121">
        <v>1088.75</v>
      </c>
      <c r="Y121">
        <v>4355</v>
      </c>
      <c r="Z121" s="2">
        <v>-1688.68</v>
      </c>
      <c r="AA121">
        <v>-1785.76</v>
      </c>
    </row>
    <row r="122" spans="2:27" x14ac:dyDescent="0.25">
      <c r="B122">
        <v>100084829</v>
      </c>
      <c r="C122" t="s">
        <v>28</v>
      </c>
      <c r="D122" t="s">
        <v>29</v>
      </c>
      <c r="E122" t="s">
        <v>30</v>
      </c>
      <c r="F122">
        <v>100063196</v>
      </c>
      <c r="G122" t="s">
        <v>31</v>
      </c>
      <c r="H122" t="s">
        <v>29</v>
      </c>
      <c r="I122" t="s">
        <v>30</v>
      </c>
      <c r="J122">
        <v>10010416</v>
      </c>
      <c r="K122" t="s">
        <v>67</v>
      </c>
      <c r="L122" t="str">
        <f t="shared" si="9"/>
        <v>55513071001</v>
      </c>
      <c r="M122">
        <v>50001118</v>
      </c>
      <c r="N122" t="s">
        <v>38</v>
      </c>
      <c r="O122" t="str">
        <f>"0941949983"</f>
        <v>0941949983</v>
      </c>
      <c r="P122" s="1">
        <v>43349</v>
      </c>
      <c r="Q122">
        <v>3000015869</v>
      </c>
      <c r="R122" t="s">
        <v>39</v>
      </c>
      <c r="S122">
        <v>3</v>
      </c>
      <c r="T122">
        <v>625.14</v>
      </c>
      <c r="U122">
        <v>642.30999999999995</v>
      </c>
      <c r="V122">
        <v>1875.42</v>
      </c>
      <c r="W122">
        <v>1926.93</v>
      </c>
      <c r="X122">
        <v>1088.75</v>
      </c>
      <c r="Y122">
        <v>3266.25</v>
      </c>
      <c r="Z122" s="2">
        <v>-1390.83</v>
      </c>
      <c r="AA122">
        <v>-1339.32</v>
      </c>
    </row>
    <row r="123" spans="2:27" x14ac:dyDescent="0.25">
      <c r="B123">
        <v>100084829</v>
      </c>
      <c r="C123" t="s">
        <v>28</v>
      </c>
      <c r="D123" t="s">
        <v>29</v>
      </c>
      <c r="E123" t="s">
        <v>30</v>
      </c>
      <c r="F123">
        <v>100063196</v>
      </c>
      <c r="G123" t="s">
        <v>31</v>
      </c>
      <c r="H123" t="s">
        <v>29</v>
      </c>
      <c r="I123" t="s">
        <v>30</v>
      </c>
      <c r="J123">
        <v>10010416</v>
      </c>
      <c r="K123" t="s">
        <v>67</v>
      </c>
      <c r="L123" t="str">
        <f t="shared" si="9"/>
        <v>55513071001</v>
      </c>
      <c r="M123">
        <v>50001118</v>
      </c>
      <c r="N123" t="s">
        <v>38</v>
      </c>
      <c r="O123" t="str">
        <f>"0943068547"</f>
        <v>0943068547</v>
      </c>
      <c r="P123" s="1">
        <v>43374</v>
      </c>
      <c r="Q123">
        <v>3000015869</v>
      </c>
      <c r="R123" t="s">
        <v>39</v>
      </c>
      <c r="S123">
        <v>4</v>
      </c>
      <c r="T123">
        <v>625.14</v>
      </c>
      <c r="U123">
        <v>642.30999999999995</v>
      </c>
      <c r="V123">
        <v>2500.56</v>
      </c>
      <c r="W123">
        <v>2569.2399999999998</v>
      </c>
      <c r="X123">
        <v>1088.75</v>
      </c>
      <c r="Y123">
        <v>4355</v>
      </c>
      <c r="Z123" s="2">
        <v>-1854.44</v>
      </c>
      <c r="AA123">
        <v>-1785.76</v>
      </c>
    </row>
    <row r="124" spans="2:27" x14ac:dyDescent="0.25">
      <c r="B124">
        <v>100084829</v>
      </c>
      <c r="C124" t="s">
        <v>28</v>
      </c>
      <c r="D124" t="s">
        <v>29</v>
      </c>
      <c r="E124" t="s">
        <v>30</v>
      </c>
      <c r="F124">
        <v>100063196</v>
      </c>
      <c r="G124" t="s">
        <v>31</v>
      </c>
      <c r="H124" t="s">
        <v>29</v>
      </c>
      <c r="I124" t="s">
        <v>30</v>
      </c>
      <c r="J124">
        <v>10010416</v>
      </c>
      <c r="K124" t="s">
        <v>67</v>
      </c>
      <c r="L124" t="str">
        <f t="shared" si="9"/>
        <v>55513071001</v>
      </c>
      <c r="M124">
        <v>50001118</v>
      </c>
      <c r="N124" t="s">
        <v>38</v>
      </c>
      <c r="O124" t="str">
        <f>"0938243075"</f>
        <v>0938243075</v>
      </c>
      <c r="P124" s="1">
        <v>43265</v>
      </c>
      <c r="Q124">
        <v>3000015869</v>
      </c>
      <c r="R124" t="s">
        <v>39</v>
      </c>
      <c r="S124">
        <v>6</v>
      </c>
      <c r="T124">
        <v>634.02</v>
      </c>
      <c r="U124">
        <v>642.30999999999995</v>
      </c>
      <c r="V124">
        <v>3804.12</v>
      </c>
      <c r="W124">
        <v>3853.86</v>
      </c>
      <c r="X124">
        <v>1088.75</v>
      </c>
      <c r="Y124">
        <v>6532.5</v>
      </c>
      <c r="Z124" s="2">
        <v>-2728.38</v>
      </c>
      <c r="AA124">
        <v>-2678.64</v>
      </c>
    </row>
    <row r="125" spans="2:27" x14ac:dyDescent="0.25">
      <c r="B125">
        <v>100084829</v>
      </c>
      <c r="C125" t="s">
        <v>28</v>
      </c>
      <c r="D125" t="s">
        <v>29</v>
      </c>
      <c r="E125" t="s">
        <v>30</v>
      </c>
      <c r="F125">
        <v>100063196</v>
      </c>
      <c r="G125" t="s">
        <v>31</v>
      </c>
      <c r="H125" t="s">
        <v>29</v>
      </c>
      <c r="I125" t="s">
        <v>30</v>
      </c>
      <c r="J125">
        <v>10010416</v>
      </c>
      <c r="K125" t="s">
        <v>67</v>
      </c>
      <c r="L125" t="str">
        <f t="shared" si="9"/>
        <v>55513071001</v>
      </c>
      <c r="M125">
        <v>50001118</v>
      </c>
      <c r="N125" t="s">
        <v>38</v>
      </c>
      <c r="O125" t="str">
        <f>"0932687845"</f>
        <v>0932687845</v>
      </c>
      <c r="P125" s="1">
        <v>43150</v>
      </c>
      <c r="Q125">
        <v>3000015869</v>
      </c>
      <c r="R125" t="s">
        <v>39</v>
      </c>
      <c r="S125">
        <v>4</v>
      </c>
      <c r="T125">
        <v>666.58</v>
      </c>
      <c r="U125">
        <v>642.30999999999995</v>
      </c>
      <c r="V125">
        <v>2666.32</v>
      </c>
      <c r="W125">
        <v>2569.2399999999998</v>
      </c>
      <c r="X125">
        <v>1088.75</v>
      </c>
      <c r="Y125">
        <v>4355</v>
      </c>
      <c r="Z125" s="2">
        <v>-1688.68</v>
      </c>
      <c r="AA125">
        <v>-1785.76</v>
      </c>
    </row>
    <row r="126" spans="2:27" x14ac:dyDescent="0.25">
      <c r="B126">
        <v>100084829</v>
      </c>
      <c r="C126" t="s">
        <v>28</v>
      </c>
      <c r="D126" t="s">
        <v>29</v>
      </c>
      <c r="E126" t="s">
        <v>30</v>
      </c>
      <c r="F126">
        <v>100063196</v>
      </c>
      <c r="G126" t="s">
        <v>31</v>
      </c>
      <c r="H126" t="s">
        <v>29</v>
      </c>
      <c r="I126" t="s">
        <v>30</v>
      </c>
      <c r="J126">
        <v>10010416</v>
      </c>
      <c r="K126" t="s">
        <v>67</v>
      </c>
      <c r="L126" t="str">
        <f t="shared" si="9"/>
        <v>55513071001</v>
      </c>
      <c r="M126">
        <v>50001118</v>
      </c>
      <c r="N126" t="s">
        <v>38</v>
      </c>
      <c r="O126" t="str">
        <f>"0946395448"</f>
        <v>0946395448</v>
      </c>
      <c r="P126" s="1">
        <v>43447</v>
      </c>
      <c r="Q126">
        <v>3000015869</v>
      </c>
      <c r="R126" t="s">
        <v>39</v>
      </c>
      <c r="S126">
        <v>6</v>
      </c>
      <c r="T126">
        <v>633.82000000000005</v>
      </c>
      <c r="U126">
        <v>642.30999999999995</v>
      </c>
      <c r="V126">
        <v>3802.92</v>
      </c>
      <c r="W126">
        <v>3853.86</v>
      </c>
      <c r="X126">
        <v>1088.75</v>
      </c>
      <c r="Y126">
        <v>6532.5</v>
      </c>
      <c r="Z126" s="2">
        <v>-2729.58</v>
      </c>
      <c r="AA126">
        <v>-2678.64</v>
      </c>
    </row>
    <row r="127" spans="2:27" x14ac:dyDescent="0.25">
      <c r="B127">
        <v>100084829</v>
      </c>
      <c r="C127" t="s">
        <v>28</v>
      </c>
      <c r="D127" t="s">
        <v>29</v>
      </c>
      <c r="E127" t="s">
        <v>30</v>
      </c>
      <c r="F127">
        <v>100063196</v>
      </c>
      <c r="G127" t="s">
        <v>31</v>
      </c>
      <c r="H127" t="s">
        <v>29</v>
      </c>
      <c r="I127" t="s">
        <v>30</v>
      </c>
      <c r="J127">
        <v>10001724</v>
      </c>
      <c r="K127" t="s">
        <v>68</v>
      </c>
      <c r="L127" t="str">
        <f t="shared" ref="L127:L133" si="10">"57894006103"</f>
        <v>57894006103</v>
      </c>
      <c r="M127">
        <v>50000511</v>
      </c>
      <c r="N127" t="s">
        <v>64</v>
      </c>
      <c r="O127" t="str">
        <f>"0934541400"</f>
        <v>0934541400</v>
      </c>
      <c r="P127" s="1">
        <v>43185</v>
      </c>
      <c r="Q127">
        <v>2000023285</v>
      </c>
      <c r="R127" t="s">
        <v>65</v>
      </c>
      <c r="S127">
        <v>1</v>
      </c>
      <c r="T127">
        <v>3649.63</v>
      </c>
      <c r="U127">
        <v>3473.25</v>
      </c>
      <c r="V127">
        <v>3649.63</v>
      </c>
      <c r="W127">
        <v>3473.25</v>
      </c>
      <c r="X127">
        <v>18935.5</v>
      </c>
      <c r="Y127">
        <v>18935.5</v>
      </c>
      <c r="Z127" s="2">
        <v>-15285.87</v>
      </c>
      <c r="AA127">
        <v>-15462.25</v>
      </c>
    </row>
    <row r="128" spans="2:27" x14ac:dyDescent="0.25">
      <c r="B128">
        <v>100084829</v>
      </c>
      <c r="C128" t="s">
        <v>28</v>
      </c>
      <c r="D128" t="s">
        <v>29</v>
      </c>
      <c r="E128" t="s">
        <v>30</v>
      </c>
      <c r="F128">
        <v>100063196</v>
      </c>
      <c r="G128" t="s">
        <v>31</v>
      </c>
      <c r="H128" t="s">
        <v>29</v>
      </c>
      <c r="I128" t="s">
        <v>30</v>
      </c>
      <c r="J128">
        <v>10001724</v>
      </c>
      <c r="K128" t="s">
        <v>68</v>
      </c>
      <c r="L128" t="str">
        <f t="shared" si="10"/>
        <v>57894006103</v>
      </c>
      <c r="M128">
        <v>50000511</v>
      </c>
      <c r="N128" t="s">
        <v>64</v>
      </c>
      <c r="O128" t="str">
        <f>"0931449042"</f>
        <v>0931449042</v>
      </c>
      <c r="P128" s="1">
        <v>43125</v>
      </c>
      <c r="Q128">
        <v>2000023285</v>
      </c>
      <c r="R128" t="s">
        <v>65</v>
      </c>
      <c r="S128">
        <v>1</v>
      </c>
      <c r="T128">
        <v>3649.63</v>
      </c>
      <c r="U128">
        <v>3473.25</v>
      </c>
      <c r="V128">
        <v>3649.63</v>
      </c>
      <c r="W128">
        <v>3473.25</v>
      </c>
      <c r="X128">
        <v>18935.5</v>
      </c>
      <c r="Y128">
        <v>18935.5</v>
      </c>
      <c r="Z128" s="2">
        <v>-15285.87</v>
      </c>
      <c r="AA128">
        <v>-15462.25</v>
      </c>
    </row>
    <row r="129" spans="1:27" x14ac:dyDescent="0.25">
      <c r="B129">
        <v>100084829</v>
      </c>
      <c r="C129" t="s">
        <v>28</v>
      </c>
      <c r="D129" t="s">
        <v>29</v>
      </c>
      <c r="E129" t="s">
        <v>30</v>
      </c>
      <c r="F129">
        <v>100063196</v>
      </c>
      <c r="G129" t="s">
        <v>31</v>
      </c>
      <c r="H129" t="s">
        <v>29</v>
      </c>
      <c r="I129" t="s">
        <v>30</v>
      </c>
      <c r="J129">
        <v>10001724</v>
      </c>
      <c r="K129" t="s">
        <v>68</v>
      </c>
      <c r="L129" t="str">
        <f t="shared" si="10"/>
        <v>57894006103</v>
      </c>
      <c r="M129">
        <v>50000511</v>
      </c>
      <c r="N129" t="s">
        <v>64</v>
      </c>
      <c r="O129" t="str">
        <f>"0944509842"</f>
        <v>0944509842</v>
      </c>
      <c r="P129" s="1">
        <v>43405</v>
      </c>
      <c r="Q129">
        <v>2000023285</v>
      </c>
      <c r="R129" t="s">
        <v>65</v>
      </c>
      <c r="S129">
        <v>1</v>
      </c>
      <c r="T129">
        <v>2947.23</v>
      </c>
      <c r="U129">
        <v>3473.25</v>
      </c>
      <c r="V129">
        <v>2947.23</v>
      </c>
      <c r="W129">
        <v>3473.25</v>
      </c>
      <c r="X129">
        <v>18935.5</v>
      </c>
      <c r="Y129">
        <v>18935.5</v>
      </c>
      <c r="Z129" s="2">
        <v>-15988.27</v>
      </c>
      <c r="AA129">
        <v>-15462.25</v>
      </c>
    </row>
    <row r="130" spans="1:27" x14ac:dyDescent="0.25">
      <c r="B130">
        <v>100084829</v>
      </c>
      <c r="C130" t="s">
        <v>28</v>
      </c>
      <c r="D130" t="s">
        <v>29</v>
      </c>
      <c r="E130" t="s">
        <v>30</v>
      </c>
      <c r="F130">
        <v>100063196</v>
      </c>
      <c r="G130" t="s">
        <v>31</v>
      </c>
      <c r="H130" t="s">
        <v>29</v>
      </c>
      <c r="I130" t="s">
        <v>30</v>
      </c>
      <c r="J130">
        <v>10001724</v>
      </c>
      <c r="K130" t="s">
        <v>68</v>
      </c>
      <c r="L130" t="str">
        <f t="shared" si="10"/>
        <v>57894006103</v>
      </c>
      <c r="M130">
        <v>50000511</v>
      </c>
      <c r="N130" t="s">
        <v>64</v>
      </c>
      <c r="O130" t="str">
        <f>"0946973463"</f>
        <v>0946973463</v>
      </c>
      <c r="P130" s="1">
        <v>43461</v>
      </c>
      <c r="Q130">
        <v>2000023285</v>
      </c>
      <c r="R130" t="s">
        <v>65</v>
      </c>
      <c r="S130">
        <v>1</v>
      </c>
      <c r="T130">
        <v>2947.23</v>
      </c>
      <c r="U130">
        <v>3473.25</v>
      </c>
      <c r="V130">
        <v>2947.23</v>
      </c>
      <c r="W130">
        <v>3473.25</v>
      </c>
      <c r="X130">
        <v>18935.5</v>
      </c>
      <c r="Y130">
        <v>18935.5</v>
      </c>
      <c r="Z130" s="2">
        <v>-15988.27</v>
      </c>
      <c r="AA130">
        <v>-15462.25</v>
      </c>
    </row>
    <row r="131" spans="1:27" x14ac:dyDescent="0.25">
      <c r="B131">
        <v>100084829</v>
      </c>
      <c r="C131" t="s">
        <v>28</v>
      </c>
      <c r="D131" t="s">
        <v>29</v>
      </c>
      <c r="E131" t="s">
        <v>30</v>
      </c>
      <c r="F131">
        <v>100063196</v>
      </c>
      <c r="G131" t="s">
        <v>31</v>
      </c>
      <c r="H131" t="s">
        <v>29</v>
      </c>
      <c r="I131" t="s">
        <v>30</v>
      </c>
      <c r="J131">
        <v>10001724</v>
      </c>
      <c r="K131" t="s">
        <v>68</v>
      </c>
      <c r="L131" t="str">
        <f t="shared" si="10"/>
        <v>57894006103</v>
      </c>
      <c r="M131">
        <v>50000511</v>
      </c>
      <c r="N131" t="s">
        <v>64</v>
      </c>
      <c r="O131" t="str">
        <f>"0942100472"</f>
        <v>0942100472</v>
      </c>
      <c r="P131" s="1">
        <v>43353</v>
      </c>
      <c r="Q131">
        <v>2000023285</v>
      </c>
      <c r="R131" t="s">
        <v>65</v>
      </c>
      <c r="S131">
        <v>1</v>
      </c>
      <c r="T131">
        <v>2641.97</v>
      </c>
      <c r="U131">
        <v>3473.25</v>
      </c>
      <c r="V131">
        <v>2641.97</v>
      </c>
      <c r="W131">
        <v>3473.25</v>
      </c>
      <c r="X131">
        <v>18935.5</v>
      </c>
      <c r="Y131">
        <v>18935.5</v>
      </c>
      <c r="Z131" s="2">
        <v>-16293.53</v>
      </c>
      <c r="AA131">
        <v>-15462.25</v>
      </c>
    </row>
    <row r="132" spans="1:27" x14ac:dyDescent="0.25">
      <c r="B132">
        <v>100084829</v>
      </c>
      <c r="C132" t="s">
        <v>28</v>
      </c>
      <c r="D132" t="s">
        <v>29</v>
      </c>
      <c r="E132" t="s">
        <v>30</v>
      </c>
      <c r="F132">
        <v>100063196</v>
      </c>
      <c r="G132" t="s">
        <v>31</v>
      </c>
      <c r="H132" t="s">
        <v>29</v>
      </c>
      <c r="I132" t="s">
        <v>30</v>
      </c>
      <c r="J132">
        <v>10001724</v>
      </c>
      <c r="K132" t="s">
        <v>68</v>
      </c>
      <c r="L132" t="str">
        <f t="shared" si="10"/>
        <v>57894006103</v>
      </c>
      <c r="M132">
        <v>50000511</v>
      </c>
      <c r="N132" t="s">
        <v>64</v>
      </c>
      <c r="O132" t="str">
        <f>"0939478650"</f>
        <v>0939478650</v>
      </c>
      <c r="P132" s="1">
        <v>43293</v>
      </c>
      <c r="Q132">
        <v>2000023285</v>
      </c>
      <c r="R132" t="s">
        <v>65</v>
      </c>
      <c r="S132">
        <v>1</v>
      </c>
      <c r="T132">
        <v>2641.97</v>
      </c>
      <c r="U132">
        <v>3473.25</v>
      </c>
      <c r="V132">
        <v>2641.97</v>
      </c>
      <c r="W132">
        <v>3473.25</v>
      </c>
      <c r="X132">
        <v>18935.5</v>
      </c>
      <c r="Y132">
        <v>18935.5</v>
      </c>
      <c r="Z132" s="2">
        <v>-16293.53</v>
      </c>
      <c r="AA132">
        <v>-15462.25</v>
      </c>
    </row>
    <row r="133" spans="1:27" x14ac:dyDescent="0.25">
      <c r="B133">
        <v>100084829</v>
      </c>
      <c r="C133" t="s">
        <v>28</v>
      </c>
      <c r="D133" t="s">
        <v>29</v>
      </c>
      <c r="E133" t="s">
        <v>30</v>
      </c>
      <c r="F133">
        <v>100063196</v>
      </c>
      <c r="G133" t="s">
        <v>31</v>
      </c>
      <c r="H133" t="s">
        <v>29</v>
      </c>
      <c r="I133" t="s">
        <v>30</v>
      </c>
      <c r="J133">
        <v>10001724</v>
      </c>
      <c r="K133" t="s">
        <v>68</v>
      </c>
      <c r="L133" t="str">
        <f t="shared" si="10"/>
        <v>57894006103</v>
      </c>
      <c r="M133">
        <v>50000511</v>
      </c>
      <c r="N133" t="s">
        <v>64</v>
      </c>
      <c r="O133" t="str">
        <f>"0937011853"</f>
        <v>0937011853</v>
      </c>
      <c r="P133" s="1">
        <v>43237</v>
      </c>
      <c r="Q133">
        <v>2000023285</v>
      </c>
      <c r="R133" t="s">
        <v>65</v>
      </c>
      <c r="S133">
        <v>1</v>
      </c>
      <c r="T133">
        <v>3668.22</v>
      </c>
      <c r="U133">
        <v>3473.25</v>
      </c>
      <c r="V133">
        <v>3668.22</v>
      </c>
      <c r="W133">
        <v>3473.25</v>
      </c>
      <c r="X133">
        <v>18935.5</v>
      </c>
      <c r="Y133">
        <v>18935.5</v>
      </c>
      <c r="Z133" s="2">
        <v>-15267.28</v>
      </c>
      <c r="AA133">
        <v>-15462.25</v>
      </c>
    </row>
    <row r="134" spans="1:27" x14ac:dyDescent="0.25">
      <c r="B134">
        <v>100084829</v>
      </c>
      <c r="C134" t="s">
        <v>28</v>
      </c>
      <c r="D134" t="s">
        <v>29</v>
      </c>
      <c r="E134" t="s">
        <v>30</v>
      </c>
      <c r="F134">
        <v>100063196</v>
      </c>
      <c r="G134" t="s">
        <v>31</v>
      </c>
      <c r="H134" t="s">
        <v>29</v>
      </c>
      <c r="I134" t="s">
        <v>30</v>
      </c>
      <c r="J134">
        <v>10113758</v>
      </c>
      <c r="K134" t="s">
        <v>69</v>
      </c>
      <c r="L134" t="str">
        <f>"55111068852"</f>
        <v>55111068852</v>
      </c>
      <c r="M134">
        <v>50000709</v>
      </c>
      <c r="N134" t="s">
        <v>70</v>
      </c>
      <c r="O134" t="str">
        <f>"0940729564"</f>
        <v>0940729564</v>
      </c>
      <c r="P134" s="1">
        <v>43321</v>
      </c>
      <c r="Q134">
        <v>4000000201</v>
      </c>
      <c r="R134" t="s">
        <v>49</v>
      </c>
      <c r="S134">
        <v>1</v>
      </c>
      <c r="T134">
        <v>49.68</v>
      </c>
      <c r="U134">
        <v>49.68</v>
      </c>
      <c r="V134">
        <v>49.68</v>
      </c>
      <c r="W134">
        <v>49.68</v>
      </c>
      <c r="X134">
        <v>275.97000000000003</v>
      </c>
      <c r="Y134">
        <v>275.97000000000003</v>
      </c>
      <c r="Z134" s="2">
        <v>-226.29</v>
      </c>
      <c r="AA134">
        <v>-226.29</v>
      </c>
    </row>
    <row r="135" spans="1:27" x14ac:dyDescent="0.25">
      <c r="B135">
        <v>100084829</v>
      </c>
      <c r="C135" t="s">
        <v>28</v>
      </c>
      <c r="D135" t="s">
        <v>29</v>
      </c>
      <c r="E135" t="s">
        <v>30</v>
      </c>
      <c r="F135">
        <v>100063196</v>
      </c>
      <c r="G135" t="s">
        <v>31</v>
      </c>
      <c r="H135" t="s">
        <v>29</v>
      </c>
      <c r="I135" t="s">
        <v>30</v>
      </c>
      <c r="J135">
        <v>10113758</v>
      </c>
      <c r="K135" t="s">
        <v>69</v>
      </c>
      <c r="L135" t="str">
        <f>"55111068852"</f>
        <v>55111068852</v>
      </c>
      <c r="M135">
        <v>50000709</v>
      </c>
      <c r="N135" t="s">
        <v>70</v>
      </c>
      <c r="O135" t="str">
        <f>"0944019208"</f>
        <v>0944019208</v>
      </c>
      <c r="P135" s="1">
        <v>43395</v>
      </c>
      <c r="Q135">
        <v>4000000201</v>
      </c>
      <c r="R135" t="s">
        <v>49</v>
      </c>
      <c r="S135">
        <v>1</v>
      </c>
      <c r="T135">
        <v>49.68</v>
      </c>
      <c r="U135">
        <v>49.68</v>
      </c>
      <c r="V135">
        <v>49.68</v>
      </c>
      <c r="W135">
        <v>49.68</v>
      </c>
      <c r="X135">
        <v>275.97000000000003</v>
      </c>
      <c r="Y135">
        <v>275.97000000000003</v>
      </c>
      <c r="Z135" s="2">
        <v>-226.29</v>
      </c>
      <c r="AA135">
        <v>-226.29</v>
      </c>
    </row>
    <row r="136" spans="1:27" x14ac:dyDescent="0.25">
      <c r="B136">
        <v>100084829</v>
      </c>
      <c r="C136" t="s">
        <v>28</v>
      </c>
      <c r="D136" t="s">
        <v>29</v>
      </c>
      <c r="E136" t="s">
        <v>30</v>
      </c>
      <c r="F136">
        <v>100063196</v>
      </c>
      <c r="G136" t="s">
        <v>31</v>
      </c>
      <c r="H136" t="s">
        <v>29</v>
      </c>
      <c r="I136" t="s">
        <v>30</v>
      </c>
      <c r="J136">
        <v>10113758</v>
      </c>
      <c r="K136" t="s">
        <v>69</v>
      </c>
      <c r="L136" t="str">
        <f>"55111068852"</f>
        <v>55111068852</v>
      </c>
      <c r="M136">
        <v>50000709</v>
      </c>
      <c r="N136" t="s">
        <v>70</v>
      </c>
      <c r="O136" t="str">
        <f>"0940740586"</f>
        <v>0940740586</v>
      </c>
      <c r="P136" s="1">
        <v>43321</v>
      </c>
      <c r="Q136">
        <v>4000000201</v>
      </c>
      <c r="R136" t="s">
        <v>49</v>
      </c>
      <c r="S136">
        <v>2</v>
      </c>
      <c r="T136">
        <v>49.68</v>
      </c>
      <c r="U136">
        <v>49.68</v>
      </c>
      <c r="V136">
        <v>99.36</v>
      </c>
      <c r="W136">
        <v>99.36</v>
      </c>
      <c r="X136">
        <v>275.97000000000003</v>
      </c>
      <c r="Y136">
        <v>551.94000000000005</v>
      </c>
      <c r="Z136" s="2">
        <v>-452.58</v>
      </c>
      <c r="AA136">
        <v>-452.58</v>
      </c>
    </row>
    <row r="137" spans="1:27" x14ac:dyDescent="0.25">
      <c r="B137">
        <v>100084829</v>
      </c>
      <c r="C137" t="s">
        <v>28</v>
      </c>
      <c r="D137" t="s">
        <v>29</v>
      </c>
      <c r="E137" t="s">
        <v>30</v>
      </c>
      <c r="F137">
        <v>100063196</v>
      </c>
      <c r="G137" t="s">
        <v>31</v>
      </c>
      <c r="H137" t="s">
        <v>29</v>
      </c>
      <c r="I137" t="s">
        <v>30</v>
      </c>
      <c r="J137">
        <v>10113758</v>
      </c>
      <c r="K137" t="s">
        <v>69</v>
      </c>
      <c r="L137" t="str">
        <f>"55111068852"</f>
        <v>55111068852</v>
      </c>
      <c r="M137">
        <v>50000709</v>
      </c>
      <c r="N137" t="s">
        <v>70</v>
      </c>
      <c r="O137" t="str">
        <f>"0937735683"</f>
        <v>0937735683</v>
      </c>
      <c r="P137" s="1">
        <v>43255</v>
      </c>
      <c r="Q137">
        <v>4000000201</v>
      </c>
      <c r="R137" t="s">
        <v>49</v>
      </c>
      <c r="S137">
        <v>1</v>
      </c>
      <c r="T137">
        <v>49.68</v>
      </c>
      <c r="U137">
        <v>49.68</v>
      </c>
      <c r="V137">
        <v>49.68</v>
      </c>
      <c r="W137">
        <v>49.68</v>
      </c>
      <c r="X137">
        <v>275.97000000000003</v>
      </c>
      <c r="Y137">
        <v>275.97000000000003</v>
      </c>
      <c r="Z137" s="2">
        <v>-226.29</v>
      </c>
      <c r="AA137">
        <v>-226.29</v>
      </c>
    </row>
    <row r="138" spans="1:27" x14ac:dyDescent="0.25">
      <c r="A138" t="s">
        <v>71</v>
      </c>
      <c r="S138">
        <v>340</v>
      </c>
      <c r="V138">
        <v>128220.6</v>
      </c>
      <c r="W138">
        <v>129201.24</v>
      </c>
      <c r="Y138">
        <v>339126.16</v>
      </c>
      <c r="Z138" s="2">
        <v>-210905.56</v>
      </c>
      <c r="AA138">
        <v>-209924.92</v>
      </c>
    </row>
    <row r="139" spans="1:27" x14ac:dyDescent="0.25">
      <c r="A139" t="s">
        <v>72</v>
      </c>
      <c r="S139">
        <v>340</v>
      </c>
      <c r="V139">
        <v>128220.6</v>
      </c>
      <c r="W139">
        <v>129201.24</v>
      </c>
      <c r="Y139">
        <v>339126.16</v>
      </c>
      <c r="Z139" s="2">
        <v>-210905.56</v>
      </c>
      <c r="AA139">
        <v>-209924.92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Pietig</dc:creator>
  <cp:lastModifiedBy>Kolton E. Hewlett</cp:lastModifiedBy>
  <dcterms:created xsi:type="dcterms:W3CDTF">2019-01-03T14:29:17Z</dcterms:created>
  <dcterms:modified xsi:type="dcterms:W3CDTF">2019-01-14T20:47:22Z</dcterms:modified>
</cp:coreProperties>
</file>